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<sst xmlns="http://schemas.openxmlformats.org/spreadsheetml/2006/main" count="233" uniqueCount="141">
  <si>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</si>
  <si>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</si>
  <si>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</si>
  <si>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</si>
  <si>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</si>
  <si>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</si>
  <si>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</si>
  <si>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</si>
  <si>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</si>
  <si>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</si>
  <si>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</si>
  <si>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</si>
  <si>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</si>
  <si>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</si>
  <si>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</si>
  <si>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</si>
  <si>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</si>
  <si>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</si>
  <si>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</si>
  <si>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</si>
  <si>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</si>
  <si>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</si>
  <si>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</si>
  <si>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</si>
  <si>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</si>
  <si>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</si>
  <si>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</si>
  <si>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</si>
  <si>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</si>
  <si>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</si>
  <si>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</si>
  <si>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</si>
  <si>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</si>
  <si>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</si>
  <si>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</si>
  <si>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</si>
  <si>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</si>
  <si>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</si>
  <si>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</si>
  <si>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</si>
  <si>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</si>
  <si>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</si>
  <si>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</si>
  <si>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</si>
  <si>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</si>
  <si>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</si>
  <si>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</si>
  <si>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</si>
  <si>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</si>
  <si>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</si>
  <si>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</si>
  <si>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</si>
  <si>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</si>
  <si>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</si>
  <si>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</si>
  <si>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</si>
  <si>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</si>
  <si>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</si>
  <si>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</si>
  <si>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</si>
  <si>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</si>
  <si>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</si>
  <si>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</si>
  <si>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</si>
  <si>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</si>
  <si>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</si>
  <si>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</si>
  <si>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</si>
  <si>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</si>
  <si>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</si>
  <si>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</si>
  <si>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</si>
  <si>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</si>
  <si>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</si>
  <si>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</si>
  <si>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</si>
  <si>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</si>
  <si>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</si>
  <si>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</si>
  <si>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</si>
  <si>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</si>
  <si>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</si>
  <si>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</si>
  <si>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</si>
  <si>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</si>
  <si>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</si>
  <si>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</si>
  <si>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</si>
  <si>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</si>
  <si>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</si>
  <si>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</si>
  <si>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</si>
  <si>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</si>
  <si>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</si>
  <si>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</si>
  <si>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</si>
  <si>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>Гкал.</t>
  </si>
  <si>
    <t>35-6-3</t>
  </si>
  <si>
    <t>35-8-1</t>
  </si>
  <si>
    <t>ул.Раскольникова</t>
  </si>
  <si>
    <t>36-4-3</t>
  </si>
  <si>
    <t>27/17</t>
  </si>
  <si>
    <t>27/16А</t>
  </si>
  <si>
    <t>18/22А</t>
  </si>
  <si>
    <t>48 мкрн</t>
  </si>
  <si>
    <t>60/09</t>
  </si>
  <si>
    <t>ул. Хади Такташа</t>
  </si>
  <si>
    <t>б-р Домостроителей</t>
  </si>
  <si>
    <t>50/19</t>
  </si>
  <si>
    <t xml:space="preserve">пр. Чулман </t>
  </si>
  <si>
    <t>ОДН</t>
  </si>
  <si>
    <t>Отопление</t>
  </si>
  <si>
    <t>отопление</t>
  </si>
  <si>
    <t>50/20</t>
  </si>
  <si>
    <t>Гкал</t>
  </si>
  <si>
    <t>50/21</t>
  </si>
  <si>
    <t>ул. Фоменко</t>
  </si>
  <si>
    <t>Улица</t>
  </si>
  <si>
    <t>дом</t>
  </si>
  <si>
    <t>Замел. 21/22</t>
  </si>
  <si>
    <t>Замел. 21/23</t>
  </si>
  <si>
    <t>кВт.Час</t>
  </si>
  <si>
    <t>Электроэнергия</t>
  </si>
  <si>
    <t xml:space="preserve">ОДН </t>
  </si>
  <si>
    <t>36-4-1</t>
  </si>
  <si>
    <t>36-4-2</t>
  </si>
  <si>
    <t>3</t>
  </si>
  <si>
    <t>13</t>
  </si>
  <si>
    <t>Замел. 21/25</t>
  </si>
  <si>
    <t>Замел. 21/27</t>
  </si>
  <si>
    <t xml:space="preserve"> офисы</t>
  </si>
  <si>
    <t>офисы</t>
  </si>
  <si>
    <t xml:space="preserve">  офисы</t>
  </si>
  <si>
    <t>ХВС</t>
  </si>
  <si>
    <t>куб.м.</t>
  </si>
  <si>
    <t>ГВС</t>
  </si>
  <si>
    <t>Замел. 21/21</t>
  </si>
  <si>
    <t xml:space="preserve">ул Нур Баян 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</si>
  <si>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март 2013 года.</t>
    </r>
  </si>
  <si>
    <t>36-8-1</t>
  </si>
  <si>
    <t>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</si>
</sst>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4" xfId="53" applyFont="1" applyBorder="1">
      <alignment/>
      <protection/>
    </xf>
    <xf numFmtId="0" fontId="4" fillId="0" borderId="15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8" xfId="53" applyFont="1" applyBorder="1">
      <alignment/>
      <protection/>
    </xf>
    <xf numFmtId="0" fontId="0" fillId="0" borderId="19" xfId="53" applyFont="1" applyBorder="1" applyAlignment="1">
      <alignment horizontal="center"/>
      <protection/>
    </xf>
    <xf numFmtId="49" fontId="0" fillId="0" borderId="20" xfId="53" applyNumberFormat="1" applyFont="1" applyBorder="1" applyAlignment="1">
      <alignment horizontal="center"/>
      <protection/>
    </xf>
    <xf numFmtId="0" fontId="5" fillId="32" borderId="19" xfId="53" applyFont="1" applyFill="1" applyBorder="1" applyAlignment="1">
      <alignment horizontal="center"/>
      <protection/>
    </xf>
    <xf numFmtId="0" fontId="5" fillId="32" borderId="21" xfId="53" applyFont="1" applyFill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22" xfId="53" applyFont="1" applyBorder="1" applyAlignment="1">
      <alignment horizontal="center"/>
      <protection/>
    </xf>
    <xf numFmtId="0" fontId="5" fillId="0" borderId="21" xfId="53" applyFont="1" applyFill="1" applyBorder="1" applyAlignment="1">
      <alignment horizontal="center"/>
      <protection/>
    </xf>
    <xf numFmtId="49" fontId="5" fillId="0" borderId="22" xfId="53" applyNumberFormat="1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32" borderId="0" xfId="53" applyFont="1" applyFill="1" applyBorder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  <xf numFmtId="0" fontId="0" fillId="32" borderId="24" xfId="53" applyFont="1" applyFill="1" applyBorder="1" applyAlignment="1">
      <alignment horizontal="center"/>
      <protection/>
    </xf>
    <xf numFmtId="0" fontId="0" fillId="32" borderId="20" xfId="53" applyFont="1" applyFill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49" fontId="0" fillId="0" borderId="22" xfId="53" applyNumberFormat="1" applyFont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0" fontId="0" fillId="32" borderId="25" xfId="53" applyFont="1" applyFill="1" applyBorder="1" applyAlignment="1">
      <alignment horizontal="center"/>
      <protection/>
    </xf>
    <xf numFmtId="0" fontId="0" fillId="32" borderId="22" xfId="53" applyFont="1" applyFill="1" applyBorder="1" applyAlignment="1">
      <alignment horizontal="center"/>
      <protection/>
    </xf>
    <xf numFmtId="0" fontId="0" fillId="32" borderId="26" xfId="53" applyFont="1" applyFill="1" applyBorder="1" applyAlignment="1">
      <alignment horizontal="center"/>
      <protection/>
    </xf>
    <xf numFmtId="0" fontId="0" fillId="0" borderId="27" xfId="53" applyFont="1" applyBorder="1">
      <alignment/>
      <protection/>
    </xf>
    <xf numFmtId="0" fontId="0" fillId="0" borderId="23" xfId="53" applyFont="1" applyBorder="1">
      <alignment/>
      <protection/>
    </xf>
    <xf numFmtId="0" fontId="0" fillId="0" borderId="0" xfId="53" applyFont="1" applyBorder="1">
      <alignment/>
      <protection/>
    </xf>
    <xf numFmtId="0" fontId="5" fillId="0" borderId="19" xfId="53" applyFont="1" applyBorder="1" applyAlignment="1">
      <alignment horizontal="center"/>
      <protection/>
    </xf>
    <xf numFmtId="0" fontId="0" fillId="32" borderId="0" xfId="53" applyFont="1" applyFill="1" applyBorder="1" applyAlignment="1">
      <alignment horizontal="center"/>
      <protection/>
    </xf>
    <xf numFmtId="1" fontId="4" fillId="32" borderId="23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32" borderId="21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32" borderId="19" xfId="53" applyFont="1" applyFill="1" applyBorder="1" applyAlignment="1">
      <alignment horizontal="center"/>
      <protection/>
    </xf>
    <xf numFmtId="1" fontId="5" fillId="0" borderId="24" xfId="0" applyNumberFormat="1" applyFont="1" applyBorder="1" applyAlignment="1">
      <alignment horizontal="center"/>
    </xf>
    <xf numFmtId="0" fontId="0" fillId="32" borderId="21" xfId="53" applyFont="1" applyFill="1" applyBorder="1" applyAlignment="1">
      <alignment horizontal="center"/>
      <protection/>
    </xf>
    <xf numFmtId="0" fontId="0" fillId="32" borderId="28" xfId="53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0" fillId="0" borderId="11" xfId="53" applyFont="1" applyBorder="1" applyAlignment="1">
      <alignment horizontal="center"/>
      <protection/>
    </xf>
    <xf numFmtId="1" fontId="6" fillId="32" borderId="21" xfId="0" applyNumberFormat="1" applyFont="1" applyFill="1" applyBorder="1" applyAlignment="1">
      <alignment horizontal="center"/>
    </xf>
    <xf numFmtId="0" fontId="7" fillId="32" borderId="22" xfId="53" applyFont="1" applyFill="1" applyBorder="1" applyAlignment="1">
      <alignment horizontal="center"/>
      <protection/>
    </xf>
    <xf numFmtId="164" fontId="0" fillId="32" borderId="20" xfId="53" applyNumberFormat="1" applyFont="1" applyFill="1" applyBorder="1" applyAlignment="1">
      <alignment horizontal="center"/>
      <protection/>
    </xf>
    <xf numFmtId="164" fontId="0" fillId="32" borderId="22" xfId="53" applyNumberFormat="1" applyFont="1" applyFill="1" applyBorder="1" applyAlignment="1">
      <alignment horizontal="center"/>
      <protection/>
    </xf>
    <xf numFmtId="164" fontId="5" fillId="0" borderId="2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32" borderId="22" xfId="0" applyNumberFormat="1" applyFont="1" applyFill="1" applyBorder="1" applyAlignment="1">
      <alignment horizontal="center"/>
    </xf>
    <xf numFmtId="1" fontId="0" fillId="32" borderId="22" xfId="53" applyNumberFormat="1" applyFont="1" applyFill="1" applyBorder="1" applyAlignment="1">
      <alignment horizontal="center"/>
      <protection/>
    </xf>
    <xf numFmtId="1" fontId="0" fillId="32" borderId="20" xfId="53" applyNumberFormat="1" applyFont="1" applyFill="1" applyBorder="1" applyAlignment="1">
      <alignment horizontal="center"/>
      <protection/>
    </xf>
    <xf numFmtId="1" fontId="0" fillId="32" borderId="11" xfId="53" applyNumberFormat="1" applyFont="1" applyFill="1" applyBorder="1" applyAlignment="1">
      <alignment horizontal="center"/>
      <protection/>
    </xf>
    <xf numFmtId="164" fontId="0" fillId="32" borderId="28" xfId="0" applyNumberFormat="1" applyFill="1" applyBorder="1" applyAlignment="1">
      <alignment horizontal="center"/>
    </xf>
    <xf numFmtId="164" fontId="0" fillId="32" borderId="22" xfId="0" applyNumberFormat="1" applyFill="1" applyBorder="1" applyAlignment="1">
      <alignment horizontal="center"/>
    </xf>
    <xf numFmtId="164" fontId="0" fillId="32" borderId="20" xfId="0" applyNumberFormat="1" applyFill="1" applyBorder="1" applyAlignment="1">
      <alignment horizontal="center"/>
    </xf>
    <xf numFmtId="164" fontId="0" fillId="32" borderId="11" xfId="0" applyNumberForma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7" fillId="32" borderId="20" xfId="53" applyNumberFormat="1" applyFont="1" applyFill="1" applyBorder="1" applyAlignment="1">
      <alignment horizontal="center"/>
      <protection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0" fillId="33" borderId="20" xfId="53" applyNumberFormat="1" applyFont="1" applyFill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0" fontId="0" fillId="0" borderId="22" xfId="53" applyFont="1" applyBorder="1" applyAlignment="1">
      <alignment horizontal="center"/>
      <protection/>
    </xf>
    <xf numFmtId="2" fontId="0" fillId="32" borderId="22" xfId="0" applyNumberFormat="1" applyFill="1" applyBorder="1" applyAlignment="1">
      <alignment horizontal="center"/>
    </xf>
    <xf numFmtId="164" fontId="0" fillId="32" borderId="30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32" borderId="19" xfId="0" applyNumberFormat="1" applyFill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2" fontId="0" fillId="32" borderId="28" xfId="0" applyNumberFormat="1" applyFill="1" applyBorder="1" applyAlignment="1">
      <alignment horizontal="center"/>
    </xf>
    <xf numFmtId="2" fontId="0" fillId="32" borderId="20" xfId="0" applyNumberForma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32" borderId="28" xfId="53" applyNumberFormat="1" applyFont="1" applyFill="1" applyBorder="1" applyAlignment="1">
      <alignment horizontal="center"/>
      <protection/>
    </xf>
    <xf numFmtId="164" fontId="0" fillId="32" borderId="22" xfId="53" applyNumberFormat="1" applyFont="1" applyFill="1" applyBorder="1" applyAlignment="1">
      <alignment horizontal="center"/>
      <protection/>
    </xf>
    <xf numFmtId="164" fontId="0" fillId="32" borderId="11" xfId="53" applyNumberFormat="1" applyFont="1" applyFill="1" applyBorder="1" applyAlignment="1">
      <alignment horizontal="center"/>
      <protection/>
    </xf>
    <xf numFmtId="164" fontId="0" fillId="32" borderId="12" xfId="53" applyNumberFormat="1" applyFont="1" applyFill="1" applyBorder="1" applyAlignment="1">
      <alignment horizontal="center"/>
      <protection/>
    </xf>
    <xf numFmtId="164" fontId="0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5" fillId="0" borderId="19" xfId="53" applyFont="1" applyFill="1" applyBorder="1" applyAlignment="1">
      <alignment horizontal="center"/>
      <protection/>
    </xf>
    <xf numFmtId="49" fontId="0" fillId="0" borderId="19" xfId="53" applyNumberFormat="1" applyFont="1" applyBorder="1" applyAlignment="1">
      <alignment horizontal="center"/>
      <protection/>
    </xf>
    <xf numFmtId="49" fontId="0" fillId="0" borderId="31" xfId="53" applyNumberFormat="1" applyFont="1" applyBorder="1" applyAlignment="1">
      <alignment horizontal="center"/>
      <protection/>
    </xf>
    <xf numFmtId="164" fontId="5" fillId="0" borderId="2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1" xfId="53" applyFont="1" applyBorder="1" applyAlignment="1">
      <alignment horizontal="center"/>
      <protection/>
    </xf>
    <xf numFmtId="0" fontId="0" fillId="0" borderId="25" xfId="53" applyFont="1" applyBorder="1" applyAlignment="1">
      <alignment horizontal="center"/>
      <protection/>
    </xf>
    <xf numFmtId="0" fontId="0" fillId="0" borderId="32" xfId="53" applyFont="1" applyBorder="1" applyAlignment="1">
      <alignment horizontal="center"/>
      <protection/>
    </xf>
    <xf numFmtId="0" fontId="0" fillId="0" borderId="33" xfId="53" applyFont="1" applyBorder="1" applyAlignment="1">
      <alignment horizontal="center"/>
      <protection/>
    </xf>
    <xf numFmtId="0" fontId="0" fillId="0" borderId="34" xfId="53" applyFont="1" applyBorder="1" applyAlignment="1">
      <alignment horizontal="center"/>
      <protection/>
    </xf>
    <xf numFmtId="0" fontId="0" fillId="0" borderId="35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0" fillId="0" borderId="24" xfId="53" applyFont="1" applyBorder="1" applyAlignment="1">
      <alignment horizontal="center"/>
      <protection/>
    </xf>
    <xf numFmtId="0" fontId="0" fillId="0" borderId="31" xfId="53" applyFont="1" applyBorder="1" applyAlignment="1">
      <alignment horizontal="center"/>
      <protection/>
    </xf>
    <xf numFmtId="49" fontId="0" fillId="0" borderId="21" xfId="53" applyNumberFormat="1" applyFont="1" applyBorder="1" applyAlignment="1">
      <alignment horizontal="center"/>
      <protection/>
    </xf>
    <xf numFmtId="49" fontId="0" fillId="0" borderId="25" xfId="53" applyNumberFormat="1" applyFont="1" applyBorder="1" applyAlignment="1">
      <alignment horizontal="center"/>
      <protection/>
    </xf>
    <xf numFmtId="49" fontId="0" fillId="0" borderId="32" xfId="53" applyNumberFormat="1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25" xfId="53" applyFont="1" applyBorder="1" applyAlignment="1">
      <alignment horizontal="center"/>
      <protection/>
    </xf>
    <xf numFmtId="0" fontId="5" fillId="0" borderId="32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 vertical="justify" wrapText="1"/>
      <protection/>
    </xf>
    <xf numFmtId="0" fontId="4" fillId="0" borderId="15" xfId="53" applyFont="1" applyBorder="1" applyAlignment="1">
      <alignment horizontal="center" vertical="justify" wrapText="1"/>
      <protection/>
    </xf>
    <xf numFmtId="0" fontId="4" fillId="0" borderId="10" xfId="53" applyFont="1" applyBorder="1" applyAlignment="1">
      <alignment horizontal="center" vertical="justify" wrapText="1"/>
      <protection/>
    </xf>
    <xf numFmtId="0" fontId="4" fillId="0" borderId="11" xfId="53" applyFont="1" applyBorder="1" applyAlignment="1">
      <alignment horizontal="center" vertical="justify" wrapText="1"/>
      <protection/>
    </xf>
    <xf numFmtId="0" fontId="4" fillId="0" borderId="10" xfId="53" applyFont="1" applyBorder="1" applyAlignment="1">
      <alignment horizontal="center" vertical="justify"/>
      <protection/>
    </xf>
    <xf numFmtId="0" fontId="4" fillId="0" borderId="11" xfId="53" applyFont="1" applyBorder="1" applyAlignment="1">
      <alignment horizontal="center" vertical="justify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22" sqref="D122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12.00390625" style="0" customWidth="1"/>
    <col min="4" max="4" width="20.25390625" style="0" customWidth="1"/>
    <col min="5" max="5" width="6.875" style="0" customWidth="1"/>
    <col min="6" max="6" width="8.125" style="0" customWidth="1"/>
    <col min="7" max="7" width="9.75390625" style="0" customWidth="1"/>
    <col min="8" max="8" width="8.75390625" style="0" customWidth="1"/>
    <col min="9" max="9" width="11.125" style="0" customWidth="1"/>
    <col min="10" max="10" width="13.25390625" style="0" customWidth="1"/>
    <col min="11" max="11" width="14.625" style="0" customWidth="1"/>
    <col min="12" max="12" width="12.00390625" style="0" customWidth="1"/>
    <col min="13" max="13" width="11.25390625" style="0" customWidth="1"/>
  </cols>
  <sheetData>
    <row r="2" spans="2:10" ht="15">
      <c r="B2" s="1"/>
      <c r="C2" s="113" t="s">
        <v>138</v>
      </c>
      <c r="D2" s="113"/>
      <c r="E2" s="113"/>
      <c r="F2" s="113"/>
      <c r="G2" s="113"/>
      <c r="H2" s="113"/>
      <c r="I2" s="113"/>
      <c r="J2" s="113"/>
    </row>
    <row r="3" spans="2:10" ht="13.5" thickBot="1">
      <c r="B3" s="1"/>
      <c r="C3" s="1"/>
      <c r="D3" s="1"/>
      <c r="E3" s="1"/>
      <c r="F3" s="1"/>
      <c r="G3" s="1"/>
      <c r="H3" s="3"/>
      <c r="I3" s="3"/>
      <c r="J3" s="1"/>
    </row>
    <row r="4" spans="2:13" ht="12.75">
      <c r="B4" s="7"/>
      <c r="C4" s="4" t="s">
        <v>93</v>
      </c>
      <c r="D4" s="8"/>
      <c r="E4" s="8"/>
      <c r="F4" s="114" t="s">
        <v>135</v>
      </c>
      <c r="G4" s="4" t="s">
        <v>110</v>
      </c>
      <c r="H4" s="116" t="s">
        <v>133</v>
      </c>
      <c r="I4" s="4" t="s">
        <v>110</v>
      </c>
      <c r="J4" s="116" t="s">
        <v>122</v>
      </c>
      <c r="K4" s="7" t="s">
        <v>123</v>
      </c>
      <c r="L4" s="118" t="s">
        <v>111</v>
      </c>
      <c r="M4" s="4" t="s">
        <v>110</v>
      </c>
    </row>
    <row r="5" spans="2:13" ht="12.75">
      <c r="B5" s="9" t="s">
        <v>42</v>
      </c>
      <c r="C5" s="5" t="s">
        <v>95</v>
      </c>
      <c r="D5" s="10" t="s">
        <v>117</v>
      </c>
      <c r="E5" s="10" t="s">
        <v>118</v>
      </c>
      <c r="F5" s="115"/>
      <c r="G5" s="5" t="s">
        <v>135</v>
      </c>
      <c r="H5" s="117"/>
      <c r="I5" s="5" t="s">
        <v>133</v>
      </c>
      <c r="J5" s="117"/>
      <c r="K5" s="9" t="s">
        <v>0</v>
      </c>
      <c r="L5" s="119"/>
      <c r="M5" s="5" t="s">
        <v>112</v>
      </c>
    </row>
    <row r="6" spans="2:13" ht="13.5" thickBot="1">
      <c r="B6" s="11" t="s">
        <v>43</v>
      </c>
      <c r="C6" s="6" t="s">
        <v>94</v>
      </c>
      <c r="D6" s="12"/>
      <c r="E6" s="12"/>
      <c r="F6" s="6" t="s">
        <v>134</v>
      </c>
      <c r="G6" s="6" t="s">
        <v>134</v>
      </c>
      <c r="H6" s="6" t="s">
        <v>134</v>
      </c>
      <c r="I6" s="6" t="s">
        <v>134</v>
      </c>
      <c r="J6" s="6" t="s">
        <v>121</v>
      </c>
      <c r="K6" s="11" t="s">
        <v>1</v>
      </c>
      <c r="L6" s="6" t="s">
        <v>96</v>
      </c>
      <c r="M6" s="6" t="s">
        <v>114</v>
      </c>
    </row>
    <row r="7" spans="2:13" ht="12.75">
      <c r="B7" s="13">
        <v>1</v>
      </c>
      <c r="C7" s="14" t="s">
        <v>85</v>
      </c>
      <c r="D7" s="15" t="s">
        <v>66</v>
      </c>
      <c r="E7" s="24" t="s">
        <v>91</v>
      </c>
      <c r="F7" s="25">
        <v>547</v>
      </c>
      <c r="G7" s="77">
        <v>11.504</v>
      </c>
      <c r="H7" s="48">
        <v>911</v>
      </c>
      <c r="I7" s="86">
        <v>145.819</v>
      </c>
      <c r="J7" s="61">
        <v>29451</v>
      </c>
      <c r="K7" s="63">
        <v>3283.741</v>
      </c>
      <c r="L7" s="82">
        <v>122.03</v>
      </c>
      <c r="M7" s="55">
        <v>36.966</v>
      </c>
    </row>
    <row r="8" spans="2:13" ht="12.75">
      <c r="B8" s="13">
        <f>B7+1</f>
        <v>2</v>
      </c>
      <c r="C8" s="28" t="s">
        <v>88</v>
      </c>
      <c r="D8" s="16" t="s">
        <v>66</v>
      </c>
      <c r="E8" s="29">
        <v>79</v>
      </c>
      <c r="F8" s="47">
        <v>804</v>
      </c>
      <c r="G8" s="72">
        <v>40.884</v>
      </c>
      <c r="H8" s="31">
        <v>1428</v>
      </c>
      <c r="I8" s="73">
        <v>209.239</v>
      </c>
      <c r="J8" s="61">
        <f>20260+7160+18001</f>
        <v>45421</v>
      </c>
      <c r="K8" s="85">
        <v>7931.369</v>
      </c>
      <c r="L8" s="76">
        <v>253.22</v>
      </c>
      <c r="M8" s="56">
        <v>83.762</v>
      </c>
    </row>
    <row r="9" spans="2:13" ht="12.75">
      <c r="B9" s="13"/>
      <c r="C9" s="107" t="s">
        <v>130</v>
      </c>
      <c r="D9" s="108"/>
      <c r="E9" s="109"/>
      <c r="F9" s="45">
        <v>11</v>
      </c>
      <c r="G9" s="55">
        <v>1.546</v>
      </c>
      <c r="H9" s="26">
        <v>8</v>
      </c>
      <c r="I9" s="55">
        <v>6.913</v>
      </c>
      <c r="J9" s="61"/>
      <c r="K9" s="78">
        <v>299.976</v>
      </c>
      <c r="L9" s="70"/>
      <c r="M9" s="90">
        <v>3.168</v>
      </c>
    </row>
    <row r="10" spans="2:13" ht="12.75">
      <c r="B10" s="13">
        <f>B8+1</f>
        <v>3</v>
      </c>
      <c r="C10" s="28" t="s">
        <v>86</v>
      </c>
      <c r="D10" s="13" t="s">
        <v>49</v>
      </c>
      <c r="E10" s="29" t="s">
        <v>92</v>
      </c>
      <c r="F10" s="41">
        <v>657</v>
      </c>
      <c r="G10" s="72">
        <v>17.933</v>
      </c>
      <c r="H10" s="31">
        <v>1005</v>
      </c>
      <c r="I10" s="73">
        <v>-62.644</v>
      </c>
      <c r="J10" s="61">
        <v>26846</v>
      </c>
      <c r="K10" s="85">
        <f>3087.574+5.98+1015.21</f>
        <v>4108.764</v>
      </c>
      <c r="L10" s="76">
        <v>177.45</v>
      </c>
      <c r="M10" s="56">
        <v>50.537</v>
      </c>
    </row>
    <row r="11" spans="2:13" ht="12.75">
      <c r="B11" s="13"/>
      <c r="C11" s="107" t="s">
        <v>130</v>
      </c>
      <c r="D11" s="108"/>
      <c r="E11" s="109"/>
      <c r="F11" s="41">
        <v>1</v>
      </c>
      <c r="G11" s="57">
        <v>1.077</v>
      </c>
      <c r="H11" s="49">
        <v>20</v>
      </c>
      <c r="I11" s="57"/>
      <c r="J11" s="61"/>
      <c r="K11" s="78">
        <f>185.429+61.32</f>
        <v>246.749</v>
      </c>
      <c r="L11" s="71"/>
      <c r="M11" s="91">
        <v>3.035</v>
      </c>
    </row>
    <row r="12" spans="2:13" ht="12.75">
      <c r="B12" s="13">
        <f>B10+1</f>
        <v>4</v>
      </c>
      <c r="C12" s="14" t="s">
        <v>46</v>
      </c>
      <c r="D12" s="13" t="s">
        <v>49</v>
      </c>
      <c r="E12" s="24" t="s">
        <v>50</v>
      </c>
      <c r="F12" s="40">
        <v>696</v>
      </c>
      <c r="G12" s="72">
        <v>58.318</v>
      </c>
      <c r="H12" s="31">
        <v>1192</v>
      </c>
      <c r="I12" s="73">
        <v>-118.847</v>
      </c>
      <c r="J12" s="61">
        <v>26084</v>
      </c>
      <c r="K12" s="85">
        <f>2003.704+1147.51+30.09</f>
        <v>3181.304</v>
      </c>
      <c r="L12" s="76">
        <v>190.01</v>
      </c>
      <c r="M12" s="56">
        <v>54.011</v>
      </c>
    </row>
    <row r="13" spans="2:13" ht="12.75">
      <c r="B13" s="13"/>
      <c r="C13" s="107" t="s">
        <v>131</v>
      </c>
      <c r="D13" s="108"/>
      <c r="E13" s="109"/>
      <c r="F13" s="46">
        <v>43</v>
      </c>
      <c r="G13" s="57">
        <v>5.889</v>
      </c>
      <c r="H13" s="50">
        <v>120</v>
      </c>
      <c r="I13" s="57"/>
      <c r="J13" s="61"/>
      <c r="K13" s="78">
        <f>202.287+118.873</f>
        <v>321.16</v>
      </c>
      <c r="L13" s="71"/>
      <c r="M13" s="91">
        <v>5.453</v>
      </c>
    </row>
    <row r="14" spans="2:13" ht="12.75">
      <c r="B14" s="13">
        <f>B12+1</f>
        <v>5</v>
      </c>
      <c r="C14" s="28" t="s">
        <v>2</v>
      </c>
      <c r="D14" s="17" t="s">
        <v>51</v>
      </c>
      <c r="E14" s="18" t="s">
        <v>52</v>
      </c>
      <c r="F14" s="25">
        <v>555</v>
      </c>
      <c r="G14" s="72">
        <v>-75.523</v>
      </c>
      <c r="H14" s="31">
        <v>792</v>
      </c>
      <c r="I14" s="73">
        <v>-149.238</v>
      </c>
      <c r="J14" s="61">
        <v>22116</v>
      </c>
      <c r="K14" s="85">
        <f>877.632+26.02+1023.01</f>
        <v>1926.6619999999998</v>
      </c>
      <c r="L14" s="76">
        <v>144.7</v>
      </c>
      <c r="M14" s="56">
        <v>38.601</v>
      </c>
    </row>
    <row r="15" spans="2:13" ht="12.75">
      <c r="B15" s="13"/>
      <c r="C15" s="107" t="s">
        <v>130</v>
      </c>
      <c r="D15" s="108"/>
      <c r="E15" s="109"/>
      <c r="F15" s="25">
        <v>0</v>
      </c>
      <c r="G15" s="55"/>
      <c r="H15" s="26">
        <v>1</v>
      </c>
      <c r="I15" s="55"/>
      <c r="J15" s="61"/>
      <c r="K15" s="78">
        <f>7.722+9.229</f>
        <v>16.951</v>
      </c>
      <c r="L15" s="71"/>
      <c r="M15" s="91">
        <v>3.681</v>
      </c>
    </row>
    <row r="16" spans="2:13" ht="12.75">
      <c r="B16" s="13">
        <f>B14+1</f>
        <v>6</v>
      </c>
      <c r="C16" s="28" t="s">
        <v>3</v>
      </c>
      <c r="D16" s="17" t="s">
        <v>53</v>
      </c>
      <c r="E16" s="18">
        <v>45</v>
      </c>
      <c r="F16" s="30">
        <v>349</v>
      </c>
      <c r="G16" s="72">
        <v>-30.868</v>
      </c>
      <c r="H16" s="31">
        <v>549</v>
      </c>
      <c r="I16" s="73">
        <v>-23.183</v>
      </c>
      <c r="J16" s="61">
        <v>24023</v>
      </c>
      <c r="K16" s="85">
        <v>7053.211</v>
      </c>
      <c r="L16" s="76">
        <v>135.67</v>
      </c>
      <c r="M16" s="56">
        <v>33.309</v>
      </c>
    </row>
    <row r="17" spans="2:13" ht="12.75">
      <c r="B17" s="13"/>
      <c r="C17" s="107" t="s">
        <v>131</v>
      </c>
      <c r="D17" s="108"/>
      <c r="E17" s="109"/>
      <c r="F17" s="30">
        <v>8</v>
      </c>
      <c r="G17" s="56"/>
      <c r="H17" s="31">
        <v>25</v>
      </c>
      <c r="I17" s="55"/>
      <c r="J17" s="61">
        <v>6967</v>
      </c>
      <c r="K17" s="78">
        <v>685.399</v>
      </c>
      <c r="L17" s="71"/>
      <c r="M17" s="91">
        <v>3.781</v>
      </c>
    </row>
    <row r="18" spans="2:13" ht="12.75">
      <c r="B18" s="13">
        <f>B16+1</f>
        <v>7</v>
      </c>
      <c r="C18" s="28" t="s">
        <v>4</v>
      </c>
      <c r="D18" s="17" t="s">
        <v>53</v>
      </c>
      <c r="E18" s="18" t="s">
        <v>54</v>
      </c>
      <c r="F18" s="30">
        <v>283</v>
      </c>
      <c r="G18" s="72">
        <v>-82.872</v>
      </c>
      <c r="H18" s="31">
        <v>613</v>
      </c>
      <c r="I18" s="73">
        <v>9.453</v>
      </c>
      <c r="J18" s="61">
        <v>22844</v>
      </c>
      <c r="K18" s="85">
        <f>3775.089+8.18+645.96</f>
        <v>4429.228999999999</v>
      </c>
      <c r="L18" s="76">
        <v>130.79</v>
      </c>
      <c r="M18" s="56">
        <v>21.321</v>
      </c>
    </row>
    <row r="19" spans="2:13" ht="12.75">
      <c r="B19" s="13"/>
      <c r="C19" s="107" t="s">
        <v>130</v>
      </c>
      <c r="D19" s="108"/>
      <c r="E19" s="109"/>
      <c r="F19" s="30">
        <v>9</v>
      </c>
      <c r="G19" s="56"/>
      <c r="H19" s="31">
        <v>107</v>
      </c>
      <c r="I19" s="55">
        <v>1.727</v>
      </c>
      <c r="J19" s="61">
        <v>3456</v>
      </c>
      <c r="K19" s="78">
        <f>689.515+119.471</f>
        <v>808.986</v>
      </c>
      <c r="L19" s="71"/>
      <c r="M19" s="91">
        <v>4.291</v>
      </c>
    </row>
    <row r="20" spans="2:13" ht="12.75">
      <c r="B20" s="13">
        <f>B18+1</f>
        <v>8</v>
      </c>
      <c r="C20" s="28" t="s">
        <v>103</v>
      </c>
      <c r="D20" s="17" t="s">
        <v>106</v>
      </c>
      <c r="E20" s="18">
        <v>7</v>
      </c>
      <c r="F20" s="53">
        <v>801</v>
      </c>
      <c r="G20" s="72">
        <v>10.118</v>
      </c>
      <c r="H20" s="31">
        <f>972+376</f>
        <v>1348</v>
      </c>
      <c r="I20" s="73">
        <v>67.846</v>
      </c>
      <c r="J20" s="61">
        <v>31896</v>
      </c>
      <c r="K20" s="85">
        <v>6885.422</v>
      </c>
      <c r="L20" s="83">
        <v>223.92</v>
      </c>
      <c r="M20" s="56">
        <v>68.017</v>
      </c>
    </row>
    <row r="21" spans="2:13" ht="12.75">
      <c r="B21" s="13"/>
      <c r="C21" s="110" t="s">
        <v>131</v>
      </c>
      <c r="D21" s="111"/>
      <c r="E21" s="112"/>
      <c r="F21" s="53"/>
      <c r="G21" s="72">
        <v>0.301</v>
      </c>
      <c r="H21" s="31"/>
      <c r="I21" s="73">
        <v>2.025</v>
      </c>
      <c r="J21" s="61"/>
      <c r="K21" s="72">
        <v>205.432</v>
      </c>
      <c r="L21" s="83"/>
      <c r="M21" s="56">
        <v>2.412</v>
      </c>
    </row>
    <row r="22" spans="2:13" ht="12.75">
      <c r="B22" s="13">
        <f>B20+1</f>
        <v>9</v>
      </c>
      <c r="C22" s="29" t="s">
        <v>102</v>
      </c>
      <c r="D22" s="19" t="s">
        <v>55</v>
      </c>
      <c r="E22" s="18" t="s">
        <v>56</v>
      </c>
      <c r="F22" s="40">
        <v>580</v>
      </c>
      <c r="G22" s="64">
        <v>23.604</v>
      </c>
      <c r="H22" s="31">
        <v>1001</v>
      </c>
      <c r="I22" s="73">
        <v>114.824</v>
      </c>
      <c r="J22" s="61">
        <v>19385</v>
      </c>
      <c r="K22" s="85">
        <v>2238.781</v>
      </c>
      <c r="L22" s="76">
        <v>113.76</v>
      </c>
      <c r="M22" s="56">
        <v>32.818</v>
      </c>
    </row>
    <row r="23" spans="2:13" ht="12.75">
      <c r="B23" s="13">
        <f aca="true" t="shared" si="0" ref="B23:B43">B22+1</f>
        <v>10</v>
      </c>
      <c r="C23" s="29" t="s">
        <v>97</v>
      </c>
      <c r="D23" s="19" t="s">
        <v>58</v>
      </c>
      <c r="E23" s="18">
        <v>32</v>
      </c>
      <c r="F23" s="30">
        <v>1919</v>
      </c>
      <c r="G23" s="72">
        <v>-93.559</v>
      </c>
      <c r="H23" s="31">
        <f>829+2126</f>
        <v>2955</v>
      </c>
      <c r="I23" s="73">
        <v>-257.534</v>
      </c>
      <c r="J23" s="61">
        <v>65698</v>
      </c>
      <c r="K23" s="85">
        <f>3707.185+2142.9+12.62</f>
        <v>5862.705</v>
      </c>
      <c r="L23" s="76">
        <f>246.75+317.6</f>
        <v>564.35</v>
      </c>
      <c r="M23" s="56">
        <v>140.827</v>
      </c>
    </row>
    <row r="24" spans="2:13" ht="12.75">
      <c r="B24" s="13"/>
      <c r="C24" s="98" t="s">
        <v>131</v>
      </c>
      <c r="D24" s="99"/>
      <c r="E24" s="100"/>
      <c r="F24" s="30"/>
      <c r="G24" s="72"/>
      <c r="H24" s="31"/>
      <c r="I24" s="73"/>
      <c r="J24" s="61"/>
      <c r="K24" s="85">
        <f>145.013+84.319</f>
        <v>229.332</v>
      </c>
      <c r="L24" s="76"/>
      <c r="M24" s="56">
        <v>5.509</v>
      </c>
    </row>
    <row r="25" spans="2:13" ht="12.75">
      <c r="B25" s="13">
        <f>B23+1</f>
        <v>11</v>
      </c>
      <c r="C25" s="29" t="s">
        <v>98</v>
      </c>
      <c r="D25" s="19" t="s">
        <v>58</v>
      </c>
      <c r="E25" s="18">
        <v>36</v>
      </c>
      <c r="F25" s="40">
        <v>901</v>
      </c>
      <c r="G25" s="72">
        <v>-41.411</v>
      </c>
      <c r="H25" s="31">
        <v>1562</v>
      </c>
      <c r="I25" s="73">
        <v>90.287</v>
      </c>
      <c r="J25" s="61">
        <v>32578</v>
      </c>
      <c r="K25" s="85">
        <f>2134.883+11.03+1570.67</f>
        <v>3716.583</v>
      </c>
      <c r="L25" s="76">
        <v>254.2</v>
      </c>
      <c r="M25" s="56">
        <v>61.041</v>
      </c>
    </row>
    <row r="26" spans="2:13" ht="12.75">
      <c r="B26" s="13"/>
      <c r="C26" s="98" t="s">
        <v>131</v>
      </c>
      <c r="D26" s="99"/>
      <c r="E26" s="100"/>
      <c r="F26" s="40"/>
      <c r="G26" s="72"/>
      <c r="H26" s="31"/>
      <c r="I26" s="73">
        <v>5.584</v>
      </c>
      <c r="J26" s="61"/>
      <c r="K26" s="85">
        <f>132.042+97.832</f>
        <v>229.874</v>
      </c>
      <c r="L26" s="76"/>
      <c r="M26" s="56">
        <v>3.775</v>
      </c>
    </row>
    <row r="27" spans="2:13" ht="12.75">
      <c r="B27" s="13">
        <f>B25+1</f>
        <v>12</v>
      </c>
      <c r="C27" s="29" t="s">
        <v>81</v>
      </c>
      <c r="D27" s="19" t="s">
        <v>58</v>
      </c>
      <c r="E27" s="18">
        <v>40</v>
      </c>
      <c r="F27" s="40">
        <v>425</v>
      </c>
      <c r="G27" s="72">
        <v>50.441</v>
      </c>
      <c r="H27" s="31">
        <v>635</v>
      </c>
      <c r="I27" s="73">
        <v>-27.822</v>
      </c>
      <c r="J27" s="61">
        <v>11943</v>
      </c>
      <c r="K27" s="85">
        <f>-322.44+459.05+9.25</f>
        <v>145.86</v>
      </c>
      <c r="L27" s="76">
        <v>107.01</v>
      </c>
      <c r="M27" s="56">
        <v>30.386</v>
      </c>
    </row>
    <row r="28" spans="2:13" ht="12.75">
      <c r="B28" s="13"/>
      <c r="C28" s="98" t="s">
        <v>131</v>
      </c>
      <c r="D28" s="99"/>
      <c r="E28" s="100"/>
      <c r="F28" s="40"/>
      <c r="G28" s="72">
        <v>4.465</v>
      </c>
      <c r="H28" s="31"/>
      <c r="I28" s="73"/>
      <c r="J28" s="61"/>
      <c r="K28" s="85">
        <v>41.444</v>
      </c>
      <c r="L28" s="76"/>
      <c r="M28" s="56">
        <v>2.69</v>
      </c>
    </row>
    <row r="29" spans="2:13" ht="12.75">
      <c r="B29" s="13">
        <f>B27+1</f>
        <v>13</v>
      </c>
      <c r="C29" s="29" t="s">
        <v>82</v>
      </c>
      <c r="D29" s="19" t="s">
        <v>58</v>
      </c>
      <c r="E29" s="18">
        <v>42</v>
      </c>
      <c r="F29" s="42">
        <v>409</v>
      </c>
      <c r="G29" s="72">
        <v>6.499</v>
      </c>
      <c r="H29" s="31">
        <v>613</v>
      </c>
      <c r="I29" s="73">
        <v>29.568</v>
      </c>
      <c r="J29" s="61">
        <v>12027</v>
      </c>
      <c r="K29" s="85">
        <f>625.563+454.47+11.58</f>
        <v>1091.6129999999998</v>
      </c>
      <c r="L29" s="76">
        <v>106.41</v>
      </c>
      <c r="M29" s="56">
        <v>29.527</v>
      </c>
    </row>
    <row r="30" spans="2:13" ht="12.75">
      <c r="B30" s="13"/>
      <c r="C30" s="98" t="s">
        <v>131</v>
      </c>
      <c r="D30" s="99"/>
      <c r="E30" s="100"/>
      <c r="F30" s="42"/>
      <c r="G30" s="72">
        <v>0.585</v>
      </c>
      <c r="H30" s="31"/>
      <c r="I30" s="73">
        <v>2.578</v>
      </c>
      <c r="J30" s="61"/>
      <c r="K30" s="85">
        <f>54.373+40.514</f>
        <v>94.887</v>
      </c>
      <c r="L30" s="76"/>
      <c r="M30" s="56">
        <v>2.566</v>
      </c>
    </row>
    <row r="31" spans="2:13" ht="12.75">
      <c r="B31" s="13">
        <f>B29+1</f>
        <v>14</v>
      </c>
      <c r="C31" s="29" t="s">
        <v>83</v>
      </c>
      <c r="D31" s="19" t="s">
        <v>58</v>
      </c>
      <c r="E31" s="18">
        <v>44</v>
      </c>
      <c r="F31" s="42">
        <v>413</v>
      </c>
      <c r="G31" s="72">
        <v>-2.996</v>
      </c>
      <c r="H31" s="31">
        <v>604</v>
      </c>
      <c r="I31" s="73">
        <v>34.728</v>
      </c>
      <c r="J31" s="61">
        <v>11707</v>
      </c>
      <c r="K31" s="85">
        <f>95.524+18.74+522.76</f>
        <v>637.024</v>
      </c>
      <c r="L31" s="76">
        <v>109.34</v>
      </c>
      <c r="M31" s="56">
        <v>25.881</v>
      </c>
    </row>
    <row r="32" spans="2:13" ht="12.75">
      <c r="B32" s="13"/>
      <c r="C32" s="98" t="s">
        <v>131</v>
      </c>
      <c r="D32" s="99"/>
      <c r="E32" s="100"/>
      <c r="F32" s="42"/>
      <c r="G32" s="72"/>
      <c r="H32" s="31"/>
      <c r="I32" s="73">
        <v>3.605</v>
      </c>
      <c r="J32" s="61"/>
      <c r="K32" s="85">
        <f>9.916+56.213</f>
        <v>66.129</v>
      </c>
      <c r="L32" s="76"/>
      <c r="M32" s="56">
        <v>2.998</v>
      </c>
    </row>
    <row r="33" spans="2:13" ht="12.75">
      <c r="B33" s="13">
        <f>B31+1</f>
        <v>15</v>
      </c>
      <c r="C33" s="29" t="s">
        <v>47</v>
      </c>
      <c r="D33" s="19" t="s">
        <v>57</v>
      </c>
      <c r="E33" s="18">
        <v>11</v>
      </c>
      <c r="F33" s="42">
        <v>789</v>
      </c>
      <c r="G33" s="72">
        <v>49.101</v>
      </c>
      <c r="H33" s="31">
        <v>1241</v>
      </c>
      <c r="I33" s="73">
        <v>43.234</v>
      </c>
      <c r="J33" s="61">
        <v>29405</v>
      </c>
      <c r="K33" s="85">
        <f>1705.737+1055.23+21.71</f>
        <v>2782.677</v>
      </c>
      <c r="L33" s="76">
        <v>240.82</v>
      </c>
      <c r="M33" s="56">
        <v>72.116</v>
      </c>
    </row>
    <row r="34" spans="2:13" ht="12.75">
      <c r="B34" s="13">
        <f t="shared" si="0"/>
        <v>16</v>
      </c>
      <c r="C34" s="29" t="s">
        <v>5</v>
      </c>
      <c r="D34" s="19" t="s">
        <v>58</v>
      </c>
      <c r="E34" s="18">
        <v>13</v>
      </c>
      <c r="F34" s="40">
        <v>322</v>
      </c>
      <c r="G34" s="72">
        <v>18.368</v>
      </c>
      <c r="H34" s="31">
        <v>443</v>
      </c>
      <c r="I34" s="73">
        <v>25.794</v>
      </c>
      <c r="J34" s="61">
        <v>10283</v>
      </c>
      <c r="K34" s="85">
        <f>1069.278+4.26+136.2</f>
        <v>1209.738</v>
      </c>
      <c r="L34" s="76">
        <v>75.29</v>
      </c>
      <c r="M34" s="56">
        <v>22.546</v>
      </c>
    </row>
    <row r="35" spans="2:13" ht="12.75">
      <c r="B35" s="13">
        <f t="shared" si="0"/>
        <v>17</v>
      </c>
      <c r="C35" s="29" t="s">
        <v>6</v>
      </c>
      <c r="D35" s="19" t="s">
        <v>58</v>
      </c>
      <c r="E35" s="18">
        <v>15</v>
      </c>
      <c r="F35" s="40">
        <v>271</v>
      </c>
      <c r="G35" s="72">
        <v>4.049</v>
      </c>
      <c r="H35" s="31">
        <v>405</v>
      </c>
      <c r="I35" s="73">
        <v>48.953</v>
      </c>
      <c r="J35" s="61">
        <v>9039</v>
      </c>
      <c r="K35" s="85">
        <f>878.444+15.44+493.05</f>
        <v>1386.934</v>
      </c>
      <c r="L35" s="76">
        <v>76.44</v>
      </c>
      <c r="M35" s="56">
        <v>18.769</v>
      </c>
    </row>
    <row r="36" spans="2:13" ht="12.75">
      <c r="B36" s="13">
        <f t="shared" si="0"/>
        <v>18</v>
      </c>
      <c r="C36" s="29" t="s">
        <v>48</v>
      </c>
      <c r="D36" s="19" t="s">
        <v>58</v>
      </c>
      <c r="E36" s="18" t="s">
        <v>59</v>
      </c>
      <c r="F36" s="40">
        <v>257</v>
      </c>
      <c r="G36" s="72">
        <v>35.944</v>
      </c>
      <c r="H36" s="31">
        <v>435</v>
      </c>
      <c r="I36" s="73">
        <v>26.417</v>
      </c>
      <c r="J36" s="61">
        <v>9535</v>
      </c>
      <c r="K36" s="85">
        <f>796.977+14.89+468.77</f>
        <v>1280.637</v>
      </c>
      <c r="L36" s="76">
        <v>72.02</v>
      </c>
      <c r="M36" s="56">
        <v>17.764</v>
      </c>
    </row>
    <row r="37" spans="2:13" ht="12.75">
      <c r="B37" s="13">
        <f t="shared" si="0"/>
        <v>19</v>
      </c>
      <c r="C37" s="29" t="s">
        <v>80</v>
      </c>
      <c r="D37" s="17" t="s">
        <v>60</v>
      </c>
      <c r="E37" s="18">
        <v>7</v>
      </c>
      <c r="F37" s="43">
        <v>1268</v>
      </c>
      <c r="G37" s="72">
        <v>-80.225</v>
      </c>
      <c r="H37" s="31">
        <f>1635+391</f>
        <v>2026</v>
      </c>
      <c r="I37" s="73">
        <v>33.234</v>
      </c>
      <c r="J37" s="61">
        <v>45322</v>
      </c>
      <c r="K37" s="85">
        <f>3260.039+1750.06+25.84</f>
        <v>5035.939</v>
      </c>
      <c r="L37" s="76">
        <f>147.49+180.73</f>
        <v>328.22</v>
      </c>
      <c r="M37" s="56">
        <v>99.632</v>
      </c>
    </row>
    <row r="38" spans="2:13" ht="12.75">
      <c r="B38" s="13">
        <f t="shared" si="0"/>
        <v>20</v>
      </c>
      <c r="C38" s="29" t="s">
        <v>44</v>
      </c>
      <c r="D38" s="19" t="s">
        <v>57</v>
      </c>
      <c r="E38" s="20" t="s">
        <v>61</v>
      </c>
      <c r="F38" s="40">
        <v>1095</v>
      </c>
      <c r="G38" s="72">
        <v>118.994</v>
      </c>
      <c r="H38" s="31">
        <v>1503</v>
      </c>
      <c r="I38" s="73">
        <v>-52.176</v>
      </c>
      <c r="J38" s="61">
        <v>39120</v>
      </c>
      <c r="K38" s="85">
        <f>3705.533+1714.48+42.34</f>
        <v>5462.353</v>
      </c>
      <c r="L38" s="76">
        <v>297.33</v>
      </c>
      <c r="M38" s="56">
        <v>25.715</v>
      </c>
    </row>
    <row r="39" spans="2:13" ht="12.75">
      <c r="B39" s="13">
        <f t="shared" si="0"/>
        <v>21</v>
      </c>
      <c r="C39" s="29" t="s">
        <v>124</v>
      </c>
      <c r="D39" s="17" t="s">
        <v>60</v>
      </c>
      <c r="E39" s="20" t="s">
        <v>126</v>
      </c>
      <c r="F39" s="40">
        <v>333</v>
      </c>
      <c r="G39" s="72">
        <v>-7.342</v>
      </c>
      <c r="H39" s="31">
        <v>444</v>
      </c>
      <c r="I39" s="73">
        <v>-30.772</v>
      </c>
      <c r="J39" s="61">
        <v>17763</v>
      </c>
      <c r="K39" s="85">
        <v>3161.446</v>
      </c>
      <c r="L39" s="76">
        <v>156.34</v>
      </c>
      <c r="M39" s="56">
        <v>42.636</v>
      </c>
    </row>
    <row r="40" spans="2:13" ht="12.75">
      <c r="B40" s="13">
        <f t="shared" si="0"/>
        <v>22</v>
      </c>
      <c r="C40" s="29" t="s">
        <v>125</v>
      </c>
      <c r="D40" s="19" t="s">
        <v>57</v>
      </c>
      <c r="E40" s="20" t="s">
        <v>127</v>
      </c>
      <c r="F40" s="40">
        <v>310</v>
      </c>
      <c r="G40" s="72">
        <v>-29.636</v>
      </c>
      <c r="H40" s="31">
        <v>500</v>
      </c>
      <c r="I40" s="73">
        <v>-40.334</v>
      </c>
      <c r="J40" s="61">
        <v>17980</v>
      </c>
      <c r="K40" s="85">
        <v>2725.902</v>
      </c>
      <c r="L40" s="76">
        <v>143.98</v>
      </c>
      <c r="M40" s="56">
        <v>39.119</v>
      </c>
    </row>
    <row r="41" spans="2:13" ht="12.75">
      <c r="B41" s="13">
        <f t="shared" si="0"/>
        <v>23</v>
      </c>
      <c r="C41" s="29" t="s">
        <v>100</v>
      </c>
      <c r="D41" s="19" t="s">
        <v>58</v>
      </c>
      <c r="E41" s="20" t="s">
        <v>101</v>
      </c>
      <c r="F41" s="40">
        <v>706</v>
      </c>
      <c r="G41" s="72">
        <v>-1.992</v>
      </c>
      <c r="H41" s="31">
        <f>233+613</f>
        <v>846</v>
      </c>
      <c r="I41" s="73">
        <v>-31.318</v>
      </c>
      <c r="J41" s="61">
        <v>21374</v>
      </c>
      <c r="K41" s="85">
        <f>2190.318+877.98+3.6</f>
        <v>3071.898</v>
      </c>
      <c r="L41" s="76">
        <f>65.18+77.09</f>
        <v>142.27</v>
      </c>
      <c r="M41" s="56">
        <v>43.048</v>
      </c>
    </row>
    <row r="42" spans="2:13" ht="12.75">
      <c r="B42" s="13">
        <f t="shared" si="0"/>
        <v>24</v>
      </c>
      <c r="C42" s="29" t="s">
        <v>7</v>
      </c>
      <c r="D42" s="19" t="s">
        <v>58</v>
      </c>
      <c r="E42" s="29">
        <v>21</v>
      </c>
      <c r="F42" s="40">
        <v>1486</v>
      </c>
      <c r="G42" s="72">
        <v>136.618</v>
      </c>
      <c r="H42" s="54">
        <f>1329+621</f>
        <v>1950</v>
      </c>
      <c r="I42" s="69">
        <v>-106.184</v>
      </c>
      <c r="J42" s="61">
        <v>52072</v>
      </c>
      <c r="K42" s="85">
        <v>4350.67</v>
      </c>
      <c r="L42" s="76">
        <f>64.74+271.83</f>
        <v>336.57</v>
      </c>
      <c r="M42" s="56">
        <v>93.745</v>
      </c>
    </row>
    <row r="43" spans="2:13" ht="12.75">
      <c r="B43" s="13">
        <f t="shared" si="0"/>
        <v>25</v>
      </c>
      <c r="C43" s="29" t="s">
        <v>8</v>
      </c>
      <c r="D43" s="19" t="s">
        <v>58</v>
      </c>
      <c r="E43" s="29">
        <v>23</v>
      </c>
      <c r="F43" s="43">
        <v>1112</v>
      </c>
      <c r="G43" s="72">
        <v>90.462</v>
      </c>
      <c r="H43" s="31">
        <v>1847</v>
      </c>
      <c r="I43" s="73">
        <v>16.497</v>
      </c>
      <c r="J43" s="61">
        <v>43453</v>
      </c>
      <c r="K43" s="85">
        <f>5229.62+52.62+2462.42</f>
        <v>7744.66</v>
      </c>
      <c r="L43" s="76">
        <f>134.14+231.24</f>
        <v>365.38</v>
      </c>
      <c r="M43" s="56">
        <v>105.83</v>
      </c>
    </row>
    <row r="44" spans="2:13" ht="12.75">
      <c r="B44" s="13"/>
      <c r="C44" s="107" t="s">
        <v>132</v>
      </c>
      <c r="D44" s="108"/>
      <c r="E44" s="109"/>
      <c r="F44" s="43">
        <v>29</v>
      </c>
      <c r="G44" s="59">
        <v>5.156</v>
      </c>
      <c r="H44" s="31">
        <v>64</v>
      </c>
      <c r="I44" s="55">
        <v>0.941</v>
      </c>
      <c r="J44" s="61"/>
      <c r="K44" s="78">
        <f>298.042+143.336</f>
        <v>441.378</v>
      </c>
      <c r="L44" s="76"/>
      <c r="M44" s="91">
        <v>10.14</v>
      </c>
    </row>
    <row r="45" spans="2:13" ht="12.75">
      <c r="B45" s="13">
        <f>B43+1</f>
        <v>26</v>
      </c>
      <c r="C45" s="29" t="s">
        <v>9</v>
      </c>
      <c r="D45" s="19" t="s">
        <v>58</v>
      </c>
      <c r="E45" s="29">
        <v>25</v>
      </c>
      <c r="F45" s="40">
        <v>1373</v>
      </c>
      <c r="G45" s="72">
        <v>174.665</v>
      </c>
      <c r="H45" s="31">
        <v>1799</v>
      </c>
      <c r="I45" s="73">
        <v>13.759</v>
      </c>
      <c r="J45" s="61">
        <v>46072</v>
      </c>
      <c r="K45" s="85">
        <f>4771.793+1564.33+29.67</f>
        <v>6365.793</v>
      </c>
      <c r="L45" s="76">
        <f>124.23+218.18</f>
        <v>342.41</v>
      </c>
      <c r="M45" s="56">
        <v>89.938</v>
      </c>
    </row>
    <row r="46" spans="2:13" ht="12.75">
      <c r="B46" s="13"/>
      <c r="C46" s="107" t="s">
        <v>130</v>
      </c>
      <c r="D46" s="108"/>
      <c r="E46" s="109"/>
      <c r="F46" s="40">
        <v>0</v>
      </c>
      <c r="G46" s="58">
        <v>9.684</v>
      </c>
      <c r="H46" s="31">
        <v>3</v>
      </c>
      <c r="I46" s="55">
        <v>0.763</v>
      </c>
      <c r="J46" s="61"/>
      <c r="K46" s="78">
        <f>264.56+88.371</f>
        <v>352.931</v>
      </c>
      <c r="L46" s="71"/>
      <c r="M46" s="91">
        <v>4.986</v>
      </c>
    </row>
    <row r="47" spans="2:13" ht="12.75">
      <c r="B47" s="13">
        <f>B45+1</f>
        <v>27</v>
      </c>
      <c r="C47" s="29" t="s">
        <v>10</v>
      </c>
      <c r="D47" s="17" t="s">
        <v>58</v>
      </c>
      <c r="E47" s="29">
        <v>17</v>
      </c>
      <c r="F47" s="43">
        <v>1899</v>
      </c>
      <c r="G47" s="72">
        <v>-129.916</v>
      </c>
      <c r="H47" s="31">
        <f>2248+1429</f>
        <v>3677</v>
      </c>
      <c r="I47" s="73">
        <v>263.602</v>
      </c>
      <c r="J47" s="61">
        <v>79210</v>
      </c>
      <c r="K47" s="85">
        <f>7287.955+115.59+3660.86</f>
        <v>11064.405</v>
      </c>
      <c r="L47" s="76">
        <f>199.72+209.55+160.77</f>
        <v>570.04</v>
      </c>
      <c r="M47" s="56">
        <v>159.27</v>
      </c>
    </row>
    <row r="48" spans="2:13" ht="12.75">
      <c r="B48" s="13">
        <f>B47+1</f>
        <v>28</v>
      </c>
      <c r="C48" s="29" t="s">
        <v>11</v>
      </c>
      <c r="D48" s="17" t="s">
        <v>62</v>
      </c>
      <c r="E48" s="29">
        <v>19</v>
      </c>
      <c r="F48" s="40">
        <v>1529</v>
      </c>
      <c r="G48" s="72">
        <v>33.429</v>
      </c>
      <c r="H48" s="31">
        <v>2204</v>
      </c>
      <c r="I48" s="73">
        <v>194.597</v>
      </c>
      <c r="J48" s="61">
        <v>57937</v>
      </c>
      <c r="K48" s="85">
        <f>6073.901+62.54+2838.36</f>
        <v>8974.801</v>
      </c>
      <c r="L48" s="76">
        <f>153.63+262.78</f>
        <v>416.40999999999997</v>
      </c>
      <c r="M48" s="56">
        <v>124.141</v>
      </c>
    </row>
    <row r="49" spans="2:13" ht="12.75">
      <c r="B49" s="13"/>
      <c r="C49" s="107" t="s">
        <v>130</v>
      </c>
      <c r="D49" s="108"/>
      <c r="E49" s="109"/>
      <c r="F49" s="51">
        <v>16</v>
      </c>
      <c r="G49" s="58">
        <v>1.222</v>
      </c>
      <c r="H49" s="31">
        <v>22</v>
      </c>
      <c r="I49" s="55">
        <v>7.112</v>
      </c>
      <c r="J49" s="61"/>
      <c r="K49" s="78">
        <f>221.975+106.014</f>
        <v>327.989</v>
      </c>
      <c r="L49" s="71"/>
      <c r="M49" s="91">
        <v>4.537</v>
      </c>
    </row>
    <row r="50" spans="2:13" ht="12.75">
      <c r="B50" s="13">
        <f>B48+1</f>
        <v>29</v>
      </c>
      <c r="C50" s="94" t="s">
        <v>139</v>
      </c>
      <c r="D50" s="18" t="s">
        <v>62</v>
      </c>
      <c r="E50" s="95" t="s">
        <v>140</v>
      </c>
      <c r="F50" s="51">
        <v>298</v>
      </c>
      <c r="G50" s="96">
        <v>-2.687</v>
      </c>
      <c r="H50" s="31">
        <v>575</v>
      </c>
      <c r="I50" s="73">
        <v>66.153</v>
      </c>
      <c r="J50" s="61">
        <v>16225</v>
      </c>
      <c r="K50" s="68">
        <v>10336.725</v>
      </c>
      <c r="L50" s="71">
        <v>218.14</v>
      </c>
      <c r="M50" s="91">
        <v>9.517</v>
      </c>
    </row>
    <row r="51" spans="2:13" ht="12.75">
      <c r="B51" s="13">
        <f>B50+1</f>
        <v>30</v>
      </c>
      <c r="C51" s="29" t="s">
        <v>12</v>
      </c>
      <c r="D51" s="93" t="s">
        <v>58</v>
      </c>
      <c r="E51" s="29">
        <v>29</v>
      </c>
      <c r="F51" s="30">
        <f>668+813</f>
        <v>1481</v>
      </c>
      <c r="G51" s="72">
        <v>56.361</v>
      </c>
      <c r="H51" s="31">
        <f>1417+1143</f>
        <v>2560</v>
      </c>
      <c r="I51" s="73">
        <v>287.177</v>
      </c>
      <c r="J51" s="61">
        <v>54873</v>
      </c>
      <c r="K51" s="85">
        <f>4636.367+61.72+2888.98</f>
        <v>7587.067000000001</v>
      </c>
      <c r="L51" s="76">
        <f>170.57+213.42</f>
        <v>383.99</v>
      </c>
      <c r="M51" s="56">
        <v>129.846</v>
      </c>
    </row>
    <row r="52" spans="2:13" ht="12.75">
      <c r="B52" s="13"/>
      <c r="C52" s="107" t="s">
        <v>130</v>
      </c>
      <c r="D52" s="108"/>
      <c r="E52" s="109"/>
      <c r="F52" s="30">
        <v>40</v>
      </c>
      <c r="G52" s="56">
        <v>4.739</v>
      </c>
      <c r="H52" s="31">
        <v>66</v>
      </c>
      <c r="I52" s="55">
        <v>24.137</v>
      </c>
      <c r="J52" s="61"/>
      <c r="K52" s="78">
        <f>389.649+247.981</f>
        <v>637.63</v>
      </c>
      <c r="L52" s="71"/>
      <c r="M52" s="91">
        <v>10.913</v>
      </c>
    </row>
    <row r="53" spans="2:13" ht="12.75">
      <c r="B53" s="13">
        <f>B51+1</f>
        <v>31</v>
      </c>
      <c r="C53" s="29" t="s">
        <v>13</v>
      </c>
      <c r="D53" s="17" t="s">
        <v>58</v>
      </c>
      <c r="E53" s="29">
        <v>31</v>
      </c>
      <c r="F53" s="30">
        <v>458</v>
      </c>
      <c r="G53" s="72">
        <v>-42.885</v>
      </c>
      <c r="H53" s="31">
        <v>823</v>
      </c>
      <c r="I53" s="73">
        <v>81.597</v>
      </c>
      <c r="J53" s="61">
        <v>18067</v>
      </c>
      <c r="K53" s="85">
        <f>1915.006+901.83+14.67</f>
        <v>2831.5060000000003</v>
      </c>
      <c r="L53" s="76">
        <v>119.91</v>
      </c>
      <c r="M53" s="56">
        <v>33.654</v>
      </c>
    </row>
    <row r="54" spans="2:13" ht="12.75">
      <c r="B54" s="13">
        <f>B53+1</f>
        <v>32</v>
      </c>
      <c r="C54" s="29" t="s">
        <v>14</v>
      </c>
      <c r="D54" s="17" t="s">
        <v>63</v>
      </c>
      <c r="E54" s="29">
        <v>27</v>
      </c>
      <c r="F54" s="30">
        <f>735+622</f>
        <v>1357</v>
      </c>
      <c r="G54" s="72">
        <v>134.431</v>
      </c>
      <c r="H54" s="31">
        <f>1028+731</f>
        <v>1759</v>
      </c>
      <c r="I54" s="73">
        <v>57.671</v>
      </c>
      <c r="J54" s="61">
        <v>43457</v>
      </c>
      <c r="K54" s="85">
        <f>4014.727+30.21+2354.3</f>
        <v>6399.237</v>
      </c>
      <c r="L54" s="76">
        <f>97.58+148.53</f>
        <v>246.11</v>
      </c>
      <c r="M54" s="56">
        <v>71.739</v>
      </c>
    </row>
    <row r="55" spans="2:13" ht="12.75">
      <c r="B55" s="13">
        <f>B54+1</f>
        <v>33</v>
      </c>
      <c r="C55" s="29" t="s">
        <v>15</v>
      </c>
      <c r="D55" s="17" t="s">
        <v>63</v>
      </c>
      <c r="E55" s="29">
        <v>29</v>
      </c>
      <c r="F55" s="30">
        <v>1164</v>
      </c>
      <c r="G55" s="72">
        <v>82.925</v>
      </c>
      <c r="H55" s="31">
        <v>1600</v>
      </c>
      <c r="I55" s="73">
        <v>185.501</v>
      </c>
      <c r="J55" s="61">
        <v>38950</v>
      </c>
      <c r="K55" s="85">
        <f>6113.766+2415.32+47.68</f>
        <v>8576.766</v>
      </c>
      <c r="L55" s="76">
        <v>243.48</v>
      </c>
      <c r="M55" s="56">
        <v>71.903</v>
      </c>
    </row>
    <row r="56" spans="2:13" ht="12.75">
      <c r="B56" s="13"/>
      <c r="C56" s="107" t="s">
        <v>130</v>
      </c>
      <c r="D56" s="108"/>
      <c r="E56" s="109"/>
      <c r="F56" s="30">
        <v>11</v>
      </c>
      <c r="G56" s="56">
        <v>5.671</v>
      </c>
      <c r="H56" s="31">
        <v>27</v>
      </c>
      <c r="I56" s="55">
        <v>12.683</v>
      </c>
      <c r="J56" s="61"/>
      <c r="K56" s="78">
        <f>418.048+168.415</f>
        <v>586.463</v>
      </c>
      <c r="L56" s="71"/>
      <c r="M56" s="91">
        <v>4.917</v>
      </c>
    </row>
    <row r="57" spans="2:13" ht="12.75">
      <c r="B57" s="13">
        <f>B55+1</f>
        <v>34</v>
      </c>
      <c r="C57" s="29" t="s">
        <v>16</v>
      </c>
      <c r="D57" s="17" t="s">
        <v>63</v>
      </c>
      <c r="E57" s="29">
        <v>31</v>
      </c>
      <c r="F57" s="30">
        <v>560</v>
      </c>
      <c r="G57" s="72">
        <v>-2.805</v>
      </c>
      <c r="H57" s="31">
        <v>800</v>
      </c>
      <c r="I57" s="73">
        <v>117.959</v>
      </c>
      <c r="J57" s="61">
        <v>19085</v>
      </c>
      <c r="K57" s="85">
        <f>3023.076+21.79+843.75</f>
        <v>3888.616</v>
      </c>
      <c r="L57" s="76">
        <v>152.45</v>
      </c>
      <c r="M57" s="56">
        <v>71.069</v>
      </c>
    </row>
    <row r="58" spans="2:13" ht="12.75">
      <c r="B58" s="13"/>
      <c r="C58" s="107" t="s">
        <v>130</v>
      </c>
      <c r="D58" s="108"/>
      <c r="E58" s="109"/>
      <c r="F58" s="30">
        <v>4</v>
      </c>
      <c r="G58" s="56"/>
      <c r="H58" s="31">
        <v>16</v>
      </c>
      <c r="I58" s="55">
        <v>11.43</v>
      </c>
      <c r="J58" s="61"/>
      <c r="K58" s="78">
        <f>292.943+83.869</f>
        <v>376.812</v>
      </c>
      <c r="L58" s="71"/>
      <c r="M58" s="91">
        <v>6.887</v>
      </c>
    </row>
    <row r="59" spans="2:13" ht="12.75">
      <c r="B59" s="13">
        <f>B57+1</f>
        <v>35</v>
      </c>
      <c r="C59" s="29" t="s">
        <v>17</v>
      </c>
      <c r="D59" s="17" t="s">
        <v>62</v>
      </c>
      <c r="E59" s="29" t="s">
        <v>64</v>
      </c>
      <c r="F59" s="30">
        <v>919</v>
      </c>
      <c r="G59" s="72">
        <v>-21.484</v>
      </c>
      <c r="H59" s="31">
        <v>1429</v>
      </c>
      <c r="I59" s="73">
        <v>271.219</v>
      </c>
      <c r="J59" s="61">
        <v>34446</v>
      </c>
      <c r="K59" s="85">
        <f>3146.052+1047.58+32.79</f>
        <v>4226.422</v>
      </c>
      <c r="L59" s="76">
        <v>217.37</v>
      </c>
      <c r="M59" s="56">
        <v>52.25</v>
      </c>
    </row>
    <row r="60" spans="2:13" ht="12.75">
      <c r="B60" s="13"/>
      <c r="C60" s="107" t="s">
        <v>130</v>
      </c>
      <c r="D60" s="108"/>
      <c r="E60" s="109"/>
      <c r="F60" s="30">
        <v>26</v>
      </c>
      <c r="G60" s="56"/>
      <c r="H60" s="31">
        <v>50</v>
      </c>
      <c r="I60" s="55">
        <v>27.924</v>
      </c>
      <c r="J60" s="61"/>
      <c r="K60" s="78">
        <f>323.905+111.231</f>
        <v>435.13599999999997</v>
      </c>
      <c r="L60" s="71"/>
      <c r="M60" s="91">
        <v>5.379</v>
      </c>
    </row>
    <row r="61" spans="2:13" ht="12.75">
      <c r="B61" s="13">
        <f>B59+1</f>
        <v>36</v>
      </c>
      <c r="C61" s="29" t="s">
        <v>18</v>
      </c>
      <c r="D61" s="17" t="s">
        <v>62</v>
      </c>
      <c r="E61" s="29">
        <v>35</v>
      </c>
      <c r="F61" s="30">
        <v>843</v>
      </c>
      <c r="G61" s="72">
        <v>10.781</v>
      </c>
      <c r="H61" s="31">
        <v>1317</v>
      </c>
      <c r="I61" s="73">
        <v>34.372</v>
      </c>
      <c r="J61" s="61">
        <v>30392</v>
      </c>
      <c r="K61" s="85">
        <v>7116.76</v>
      </c>
      <c r="L61" s="76">
        <v>197.74</v>
      </c>
      <c r="M61" s="56">
        <v>57.151</v>
      </c>
    </row>
    <row r="62" spans="2:13" ht="12.75">
      <c r="B62" s="13">
        <f>B61+1</f>
        <v>37</v>
      </c>
      <c r="C62" s="29" t="s">
        <v>19</v>
      </c>
      <c r="D62" s="17" t="s">
        <v>62</v>
      </c>
      <c r="E62" s="29">
        <v>39</v>
      </c>
      <c r="F62" s="30">
        <v>401</v>
      </c>
      <c r="G62" s="72">
        <v>-0.281</v>
      </c>
      <c r="H62" s="31">
        <v>514</v>
      </c>
      <c r="I62" s="73">
        <v>3.75</v>
      </c>
      <c r="J62" s="61">
        <v>13808</v>
      </c>
      <c r="K62" s="85">
        <f>1775.966+12.34+558.83</f>
        <v>2347.136</v>
      </c>
      <c r="L62" s="76">
        <v>81.22</v>
      </c>
      <c r="M62" s="56">
        <v>23.288</v>
      </c>
    </row>
    <row r="63" spans="2:13" ht="12.75">
      <c r="B63" s="13">
        <f>B62+1</f>
        <v>38</v>
      </c>
      <c r="C63" s="29" t="s">
        <v>20</v>
      </c>
      <c r="D63" s="17" t="s">
        <v>58</v>
      </c>
      <c r="E63" s="29">
        <v>33</v>
      </c>
      <c r="F63" s="30">
        <f>753+676</f>
        <v>1429</v>
      </c>
      <c r="G63" s="72">
        <v>-151.993</v>
      </c>
      <c r="H63" s="31">
        <v>2505</v>
      </c>
      <c r="I63" s="73">
        <v>121.93</v>
      </c>
      <c r="J63" s="61">
        <v>54603</v>
      </c>
      <c r="K63" s="85">
        <f>4457.541+2185.98+44.26</f>
        <v>6687.781000000001</v>
      </c>
      <c r="L63" s="76">
        <f>167.37+175.56</f>
        <v>342.93</v>
      </c>
      <c r="M63" s="56">
        <v>113.499</v>
      </c>
    </row>
    <row r="64" spans="2:13" ht="12.75">
      <c r="B64" s="13"/>
      <c r="C64" s="107" t="s">
        <v>130</v>
      </c>
      <c r="D64" s="108"/>
      <c r="E64" s="109"/>
      <c r="F64" s="30">
        <v>11</v>
      </c>
      <c r="G64" s="56"/>
      <c r="H64" s="31">
        <v>15</v>
      </c>
      <c r="I64" s="55">
        <v>3.365</v>
      </c>
      <c r="J64" s="61"/>
      <c r="K64" s="78">
        <f>123.026+61.552</f>
        <v>184.578</v>
      </c>
      <c r="L64" s="71"/>
      <c r="M64" s="91">
        <v>3.133</v>
      </c>
    </row>
    <row r="65" spans="2:13" ht="12.75">
      <c r="B65" s="13">
        <f>B63+1</f>
        <v>39</v>
      </c>
      <c r="C65" s="29" t="s">
        <v>21</v>
      </c>
      <c r="D65" s="17" t="s">
        <v>58</v>
      </c>
      <c r="E65" s="29">
        <v>35</v>
      </c>
      <c r="F65" s="30">
        <v>763</v>
      </c>
      <c r="G65" s="72">
        <v>-19.605</v>
      </c>
      <c r="H65" s="31">
        <v>1098</v>
      </c>
      <c r="I65" s="73">
        <v>36.956</v>
      </c>
      <c r="J65" s="61">
        <v>29733</v>
      </c>
      <c r="K65" s="85">
        <f>3760.041+1465.87+64.38</f>
        <v>5290.291</v>
      </c>
      <c r="L65" s="76">
        <v>206.84</v>
      </c>
      <c r="M65" s="56">
        <v>65.178</v>
      </c>
    </row>
    <row r="66" spans="2:13" ht="12.75">
      <c r="B66" s="13"/>
      <c r="C66" s="107" t="s">
        <v>130</v>
      </c>
      <c r="D66" s="108"/>
      <c r="E66" s="109"/>
      <c r="F66" s="30">
        <v>17</v>
      </c>
      <c r="G66" s="56"/>
      <c r="H66" s="31">
        <v>24</v>
      </c>
      <c r="I66" s="55">
        <v>3.676</v>
      </c>
      <c r="J66" s="61"/>
      <c r="K66" s="78">
        <f>373.899+152.181</f>
        <v>526.08</v>
      </c>
      <c r="L66" s="71"/>
      <c r="M66" s="91">
        <v>7.615</v>
      </c>
    </row>
    <row r="67" spans="2:13" ht="12.75">
      <c r="B67" s="13">
        <f>B65+1</f>
        <v>40</v>
      </c>
      <c r="C67" s="29" t="s">
        <v>22</v>
      </c>
      <c r="D67" s="17" t="s">
        <v>63</v>
      </c>
      <c r="E67" s="29">
        <v>33</v>
      </c>
      <c r="F67" s="32">
        <v>539</v>
      </c>
      <c r="G67" s="72">
        <v>-9.03</v>
      </c>
      <c r="H67" s="31">
        <v>788</v>
      </c>
      <c r="I67" s="73">
        <v>79.572</v>
      </c>
      <c r="J67" s="61">
        <v>19154</v>
      </c>
      <c r="K67" s="85">
        <f>2022.823+1167.5</f>
        <v>3190.3230000000003</v>
      </c>
      <c r="L67" s="76">
        <v>134.04</v>
      </c>
      <c r="M67" s="56">
        <v>38.874</v>
      </c>
    </row>
    <row r="68" spans="2:13" ht="12.75">
      <c r="B68" s="13">
        <f>B67+1</f>
        <v>41</v>
      </c>
      <c r="C68" s="29" t="s">
        <v>23</v>
      </c>
      <c r="D68" s="17" t="s">
        <v>99</v>
      </c>
      <c r="E68" s="27">
        <v>45</v>
      </c>
      <c r="F68" s="47">
        <v>537</v>
      </c>
      <c r="G68" s="64">
        <v>-82.805</v>
      </c>
      <c r="H68" s="31">
        <v>837</v>
      </c>
      <c r="I68" s="73">
        <v>2.539</v>
      </c>
      <c r="J68" s="61">
        <v>21350</v>
      </c>
      <c r="K68" s="85">
        <f>4.24+0.12</f>
        <v>4.36</v>
      </c>
      <c r="L68" s="76">
        <v>130</v>
      </c>
      <c r="M68" s="56">
        <v>45.891</v>
      </c>
    </row>
    <row r="69" spans="2:13" ht="12.75">
      <c r="B69" s="13"/>
      <c r="C69" s="107" t="s">
        <v>130</v>
      </c>
      <c r="D69" s="108"/>
      <c r="E69" s="108"/>
      <c r="F69" s="47">
        <v>8</v>
      </c>
      <c r="G69" s="56"/>
      <c r="H69" s="31">
        <v>21</v>
      </c>
      <c r="I69" s="55">
        <v>0.273</v>
      </c>
      <c r="J69" s="61"/>
      <c r="K69" s="78">
        <v>0.462</v>
      </c>
      <c r="L69" s="71"/>
      <c r="M69" s="91">
        <v>4.929</v>
      </c>
    </row>
    <row r="70" spans="2:13" ht="12.75">
      <c r="B70" s="13">
        <f>B68+1</f>
        <v>42</v>
      </c>
      <c r="C70" s="29" t="s">
        <v>24</v>
      </c>
      <c r="D70" s="17" t="s">
        <v>62</v>
      </c>
      <c r="E70" s="27" t="s">
        <v>65</v>
      </c>
      <c r="F70" s="47">
        <v>173</v>
      </c>
      <c r="G70" s="72">
        <v>-27.892</v>
      </c>
      <c r="H70" s="31">
        <v>302</v>
      </c>
      <c r="I70" s="73">
        <v>23.453</v>
      </c>
      <c r="J70" s="61">
        <v>4157</v>
      </c>
      <c r="K70" s="85">
        <v>-1503.438</v>
      </c>
      <c r="L70" s="76">
        <v>52.97</v>
      </c>
      <c r="M70" s="56">
        <v>12.222</v>
      </c>
    </row>
    <row r="71" spans="2:13" ht="12.75">
      <c r="B71" s="13"/>
      <c r="C71" s="107" t="s">
        <v>130</v>
      </c>
      <c r="D71" s="108"/>
      <c r="E71" s="108"/>
      <c r="F71" s="47">
        <v>3</v>
      </c>
      <c r="G71" s="56"/>
      <c r="H71" s="31">
        <v>1</v>
      </c>
      <c r="I71" s="55">
        <v>2.618</v>
      </c>
      <c r="J71" s="61">
        <v>2042</v>
      </c>
      <c r="K71" s="79"/>
      <c r="L71" s="71"/>
      <c r="M71" s="91">
        <v>1.364</v>
      </c>
    </row>
    <row r="72" spans="2:13" ht="12.75">
      <c r="B72" s="13">
        <f>B70+1</f>
        <v>43</v>
      </c>
      <c r="C72" s="29" t="s">
        <v>104</v>
      </c>
      <c r="D72" s="17" t="s">
        <v>107</v>
      </c>
      <c r="E72" s="27">
        <v>5</v>
      </c>
      <c r="F72" s="40">
        <v>662</v>
      </c>
      <c r="G72" s="72">
        <v>-38.61</v>
      </c>
      <c r="H72" s="31">
        <v>1007</v>
      </c>
      <c r="I72" s="73">
        <v>-29.838</v>
      </c>
      <c r="J72" s="61">
        <v>25516</v>
      </c>
      <c r="K72" s="85">
        <v>2385.317</v>
      </c>
      <c r="L72" s="76">
        <v>209.18</v>
      </c>
      <c r="M72" s="56">
        <v>70.086</v>
      </c>
    </row>
    <row r="73" spans="2:13" ht="12.75">
      <c r="B73" s="13">
        <f>B72+1</f>
        <v>44</v>
      </c>
      <c r="C73" s="29" t="s">
        <v>108</v>
      </c>
      <c r="D73" s="17" t="s">
        <v>109</v>
      </c>
      <c r="E73" s="27">
        <v>138</v>
      </c>
      <c r="F73" s="44">
        <v>293</v>
      </c>
      <c r="G73" s="72">
        <v>-2.346</v>
      </c>
      <c r="H73" s="31">
        <v>505</v>
      </c>
      <c r="I73" s="73">
        <v>15.366</v>
      </c>
      <c r="J73" s="61">
        <v>10577</v>
      </c>
      <c r="K73" s="85">
        <v>1489.187</v>
      </c>
      <c r="L73" s="76">
        <v>82.98</v>
      </c>
      <c r="M73" s="56">
        <v>0.151</v>
      </c>
    </row>
    <row r="74" spans="2:13" ht="12.75">
      <c r="B74" s="13">
        <f>B73+1</f>
        <v>45</v>
      </c>
      <c r="C74" s="29" t="s">
        <v>113</v>
      </c>
      <c r="D74" s="17" t="s">
        <v>109</v>
      </c>
      <c r="E74" s="27">
        <v>140</v>
      </c>
      <c r="F74" s="40">
        <v>172</v>
      </c>
      <c r="G74" s="72">
        <v>-66.493</v>
      </c>
      <c r="H74" s="31">
        <v>476</v>
      </c>
      <c r="I74" s="73">
        <v>96.174</v>
      </c>
      <c r="J74" s="61">
        <v>8720</v>
      </c>
      <c r="K74" s="85">
        <v>1612.562</v>
      </c>
      <c r="L74" s="76">
        <v>74.65</v>
      </c>
      <c r="M74" s="56">
        <v>0</v>
      </c>
    </row>
    <row r="75" spans="2:13" ht="12.75">
      <c r="B75" s="13">
        <f>B74+1</f>
        <v>46</v>
      </c>
      <c r="C75" s="29" t="s">
        <v>115</v>
      </c>
      <c r="D75" s="17" t="s">
        <v>109</v>
      </c>
      <c r="E75" s="27">
        <v>142</v>
      </c>
      <c r="F75" s="40">
        <v>232</v>
      </c>
      <c r="G75" s="72">
        <v>1.843</v>
      </c>
      <c r="H75" s="31">
        <v>440</v>
      </c>
      <c r="I75" s="73">
        <v>13.468</v>
      </c>
      <c r="J75" s="61">
        <v>8701</v>
      </c>
      <c r="K75" s="85">
        <v>1537.097</v>
      </c>
      <c r="L75" s="76">
        <v>71.63</v>
      </c>
      <c r="M75" s="56">
        <v>0</v>
      </c>
    </row>
    <row r="76" spans="2:13" ht="12.75">
      <c r="B76" s="13">
        <f>B75+1</f>
        <v>47</v>
      </c>
      <c r="C76" s="29" t="s">
        <v>25</v>
      </c>
      <c r="D76" s="17" t="s">
        <v>66</v>
      </c>
      <c r="E76" s="27">
        <v>138</v>
      </c>
      <c r="F76" s="47">
        <v>400</v>
      </c>
      <c r="G76" s="72">
        <v>33.191</v>
      </c>
      <c r="H76" s="31">
        <v>778</v>
      </c>
      <c r="I76" s="73">
        <v>245.259</v>
      </c>
      <c r="J76" s="61">
        <v>20113</v>
      </c>
      <c r="K76" s="85">
        <v>5173.751</v>
      </c>
      <c r="L76" s="76">
        <v>182.46</v>
      </c>
      <c r="M76" s="56">
        <v>71.56</v>
      </c>
    </row>
    <row r="77" spans="2:13" ht="12.75">
      <c r="B77" s="13"/>
      <c r="C77" s="107" t="s">
        <v>130</v>
      </c>
      <c r="D77" s="108"/>
      <c r="E77" s="108"/>
      <c r="F77" s="47">
        <v>20</v>
      </c>
      <c r="G77" s="56">
        <v>5.025</v>
      </c>
      <c r="H77" s="31">
        <v>32</v>
      </c>
      <c r="I77" s="55">
        <v>37.122</v>
      </c>
      <c r="J77" s="61"/>
      <c r="K77" s="78">
        <v>783.091</v>
      </c>
      <c r="L77" s="71"/>
      <c r="M77" s="91">
        <v>10.831</v>
      </c>
    </row>
    <row r="78" spans="2:13" ht="12.75">
      <c r="B78" s="13">
        <f>B76+1</f>
        <v>48</v>
      </c>
      <c r="C78" s="31" t="s">
        <v>26</v>
      </c>
      <c r="D78" s="16" t="s">
        <v>66</v>
      </c>
      <c r="E78" s="31" t="s">
        <v>67</v>
      </c>
      <c r="F78" s="25">
        <v>320</v>
      </c>
      <c r="G78" s="72">
        <v>0.084</v>
      </c>
      <c r="H78" s="31">
        <v>531</v>
      </c>
      <c r="I78" s="73">
        <v>88.946</v>
      </c>
      <c r="J78" s="61">
        <v>12228</v>
      </c>
      <c r="K78" s="85">
        <v>1997.035</v>
      </c>
      <c r="L78" s="76">
        <v>88.39</v>
      </c>
      <c r="M78" s="56">
        <v>25.156</v>
      </c>
    </row>
    <row r="79" spans="2:13" ht="12.75">
      <c r="B79" s="13">
        <f>B78+1</f>
        <v>49</v>
      </c>
      <c r="C79" s="29" t="s">
        <v>27</v>
      </c>
      <c r="D79" s="17" t="s">
        <v>68</v>
      </c>
      <c r="E79" s="29">
        <v>59</v>
      </c>
      <c r="F79" s="30">
        <v>366</v>
      </c>
      <c r="G79" s="72">
        <v>-34.264</v>
      </c>
      <c r="H79" s="31">
        <v>624</v>
      </c>
      <c r="I79" s="73">
        <v>-41.012</v>
      </c>
      <c r="J79" s="61">
        <v>11947</v>
      </c>
      <c r="K79" s="85">
        <v>-2030.558</v>
      </c>
      <c r="L79" s="76">
        <v>122.55</v>
      </c>
      <c r="M79" s="56">
        <v>48.286</v>
      </c>
    </row>
    <row r="80" spans="2:13" ht="12.75">
      <c r="B80" s="13"/>
      <c r="C80" s="107" t="s">
        <v>130</v>
      </c>
      <c r="D80" s="108"/>
      <c r="E80" s="109"/>
      <c r="F80" s="30">
        <v>0</v>
      </c>
      <c r="G80" s="56"/>
      <c r="H80" s="31">
        <v>1</v>
      </c>
      <c r="I80" s="55"/>
      <c r="J80" s="61">
        <v>391</v>
      </c>
      <c r="K80" s="79"/>
      <c r="L80" s="71"/>
      <c r="M80" s="91">
        <v>0.496</v>
      </c>
    </row>
    <row r="81" spans="2:13" ht="12.75">
      <c r="B81" s="13">
        <f>B79+1</f>
        <v>50</v>
      </c>
      <c r="C81" s="29" t="s">
        <v>89</v>
      </c>
      <c r="D81" s="17" t="s">
        <v>68</v>
      </c>
      <c r="E81" s="29" t="s">
        <v>65</v>
      </c>
      <c r="F81" s="40">
        <v>407</v>
      </c>
      <c r="G81" s="72">
        <v>-34.752</v>
      </c>
      <c r="H81" s="31">
        <v>599</v>
      </c>
      <c r="I81" s="73">
        <v>-36.776</v>
      </c>
      <c r="J81" s="61">
        <v>13419</v>
      </c>
      <c r="K81" s="85">
        <f>863.64+26.77</f>
        <v>890.41</v>
      </c>
      <c r="L81" s="76">
        <v>100.89</v>
      </c>
      <c r="M81" s="56">
        <v>29.614</v>
      </c>
    </row>
    <row r="82" spans="2:13" ht="12.75">
      <c r="B82" s="13">
        <f>B81+1</f>
        <v>51</v>
      </c>
      <c r="C82" s="29" t="s">
        <v>28</v>
      </c>
      <c r="D82" s="17" t="s">
        <v>69</v>
      </c>
      <c r="E82" s="29">
        <v>5</v>
      </c>
      <c r="F82" s="30">
        <v>991</v>
      </c>
      <c r="G82" s="72">
        <v>73.747</v>
      </c>
      <c r="H82" s="31">
        <v>1620</v>
      </c>
      <c r="I82" s="73">
        <v>286.973</v>
      </c>
      <c r="J82" s="61">
        <v>35134</v>
      </c>
      <c r="K82" s="85">
        <v>4848.498</v>
      </c>
      <c r="L82" s="76">
        <v>225.89</v>
      </c>
      <c r="M82" s="56">
        <v>65.661</v>
      </c>
    </row>
    <row r="83" spans="2:13" ht="12.75">
      <c r="B83" s="13">
        <f>B82+1</f>
        <v>52</v>
      </c>
      <c r="C83" s="29" t="s">
        <v>29</v>
      </c>
      <c r="D83" s="17" t="s">
        <v>69</v>
      </c>
      <c r="E83" s="29" t="s">
        <v>70</v>
      </c>
      <c r="F83" s="30">
        <v>256</v>
      </c>
      <c r="G83" s="72">
        <v>-10.542</v>
      </c>
      <c r="H83" s="31">
        <v>524</v>
      </c>
      <c r="I83" s="73">
        <v>40.642</v>
      </c>
      <c r="J83" s="61">
        <v>10624</v>
      </c>
      <c r="K83" s="85">
        <v>1769.172</v>
      </c>
      <c r="L83" s="76">
        <v>96.76</v>
      </c>
      <c r="M83" s="56">
        <v>26.509</v>
      </c>
    </row>
    <row r="84" spans="2:13" ht="12.75">
      <c r="B84" s="13"/>
      <c r="C84" s="107" t="s">
        <v>130</v>
      </c>
      <c r="D84" s="108"/>
      <c r="E84" s="109"/>
      <c r="F84" s="30">
        <v>9</v>
      </c>
      <c r="G84" s="56"/>
      <c r="H84" s="31">
        <v>41</v>
      </c>
      <c r="I84" s="55">
        <v>4.448</v>
      </c>
      <c r="J84" s="61"/>
      <c r="K84" s="78">
        <v>193.654</v>
      </c>
      <c r="L84" s="71"/>
      <c r="M84" s="91">
        <v>2.902</v>
      </c>
    </row>
    <row r="85" spans="2:13" ht="12.75">
      <c r="B85" s="13">
        <f>B83+1</f>
        <v>53</v>
      </c>
      <c r="C85" s="29" t="s">
        <v>30</v>
      </c>
      <c r="D85" s="17" t="s">
        <v>71</v>
      </c>
      <c r="E85" s="29" t="s">
        <v>72</v>
      </c>
      <c r="F85" s="30">
        <v>1212</v>
      </c>
      <c r="G85" s="72">
        <v>110.912</v>
      </c>
      <c r="H85" s="31">
        <v>1164</v>
      </c>
      <c r="I85" s="73">
        <v>227.98</v>
      </c>
      <c r="J85" s="61">
        <v>37739</v>
      </c>
      <c r="K85" s="85">
        <f>2578.852+18.64+427.47</f>
        <v>3024.9619999999995</v>
      </c>
      <c r="L85" s="76">
        <v>248.74</v>
      </c>
      <c r="M85" s="56">
        <v>73.333</v>
      </c>
    </row>
    <row r="86" spans="2:13" ht="12.75">
      <c r="B86" s="13">
        <f>B85+1</f>
        <v>54</v>
      </c>
      <c r="C86" s="29" t="s">
        <v>32</v>
      </c>
      <c r="D86" s="17" t="s">
        <v>71</v>
      </c>
      <c r="E86" s="29" t="s">
        <v>74</v>
      </c>
      <c r="F86" s="30">
        <v>702</v>
      </c>
      <c r="G86" s="72">
        <v>-39.015</v>
      </c>
      <c r="H86" s="31">
        <v>1149</v>
      </c>
      <c r="I86" s="73">
        <v>112.033</v>
      </c>
      <c r="J86" s="61">
        <v>26574</v>
      </c>
      <c r="K86" s="85">
        <v>2247.662</v>
      </c>
      <c r="L86" s="76">
        <v>188.06</v>
      </c>
      <c r="M86" s="56">
        <v>54.407</v>
      </c>
    </row>
    <row r="87" spans="2:13" ht="12.75">
      <c r="B87" s="13">
        <f>B86+1</f>
        <v>55</v>
      </c>
      <c r="C87" s="29" t="s">
        <v>31</v>
      </c>
      <c r="D87" s="17" t="s">
        <v>71</v>
      </c>
      <c r="E87" s="29" t="s">
        <v>73</v>
      </c>
      <c r="F87" s="30">
        <v>422</v>
      </c>
      <c r="G87" s="72">
        <v>-12.824</v>
      </c>
      <c r="H87" s="31">
        <v>604</v>
      </c>
      <c r="I87" s="73">
        <v>31.79</v>
      </c>
      <c r="J87" s="61">
        <v>13803</v>
      </c>
      <c r="K87" s="85">
        <v>2304.51</v>
      </c>
      <c r="L87" s="76">
        <v>85.18</v>
      </c>
      <c r="M87" s="56">
        <v>20.91</v>
      </c>
    </row>
    <row r="88" spans="2:13" ht="12.75">
      <c r="B88" s="13">
        <f>B87+1</f>
        <v>56</v>
      </c>
      <c r="C88" s="29" t="s">
        <v>33</v>
      </c>
      <c r="D88" s="17" t="s">
        <v>71</v>
      </c>
      <c r="E88" s="29" t="s">
        <v>75</v>
      </c>
      <c r="F88" s="30">
        <v>452</v>
      </c>
      <c r="G88" s="72">
        <v>6.632</v>
      </c>
      <c r="H88" s="31">
        <v>759</v>
      </c>
      <c r="I88" s="73">
        <v>165.802</v>
      </c>
      <c r="J88" s="61">
        <v>15587</v>
      </c>
      <c r="K88" s="85">
        <f>1125.694+62.92+2.39</f>
        <v>1191.0040000000001</v>
      </c>
      <c r="L88" s="76">
        <v>97.6</v>
      </c>
      <c r="M88" s="56">
        <v>27.124</v>
      </c>
    </row>
    <row r="89" spans="2:13" ht="409.5">
      <c r="B89" s="13">
        <f>B88+1</f>
        <v>57</v>
      </c>
      <c r="C89" s="29" t="s">
        <v>34</v>
      </c>
      <c r="D89" s="17" t="s">
        <v>76</v>
      </c>
      <c r="E89" s="29">
        <v>108</v>
      </c>
      <c r="F89" s="30">
        <v>990</v>
      </c>
      <c r="G89" s="72">
        <v>44.015</v>
      </c>
      <c r="H89" s="31">
        <v>1479</v>
      </c>
      <c r="I89" s="73">
        <v>74.887</v>
      </c>
      <c r="J89" s="61">
        <v>16287</v>
      </c>
      <c r="K89" s="85">
        <v>-8502.519</v>
      </c>
      <c r="L89" s="76">
        <v>188.58</v>
      </c>
      <c r="M89" s="56">
        <v>54.36</v>
      </c>
    </row>
    <row r="90" spans="2:13" ht="409.5">
      <c r="B90" s="13"/>
      <c r="C90" s="107" t="s">
        <v>131</v>
      </c>
      <c r="D90" s="108"/>
      <c r="E90" s="109"/>
      <c r="F90" s="30">
        <v>11</v>
      </c>
      <c r="G90" s="56">
        <v>4.298</v>
      </c>
      <c r="H90" s="31">
        <v>30</v>
      </c>
      <c r="I90" s="55">
        <v>7.31</v>
      </c>
      <c r="J90" s="61"/>
      <c r="K90" s="79"/>
      <c r="L90" s="71"/>
      <c r="M90" s="91">
        <v>5.307</v>
      </c>
    </row>
    <row r="91" spans="2:13" ht="409.5">
      <c r="B91" s="13">
        <f>B89+1</f>
        <v>58</v>
      </c>
      <c r="C91" s="29" t="s">
        <v>45</v>
      </c>
      <c r="D91" s="17" t="s">
        <v>76</v>
      </c>
      <c r="E91" s="29">
        <v>120</v>
      </c>
      <c r="F91" s="40">
        <v>513</v>
      </c>
      <c r="G91" s="72">
        <v>110.154</v>
      </c>
      <c r="H91" s="31">
        <v>869</v>
      </c>
      <c r="I91" s="73">
        <v>-29.242</v>
      </c>
      <c r="J91" s="61">
        <v>27023</v>
      </c>
      <c r="K91" s="85">
        <f>2612.394+38.99+1004.59+191.97</f>
        <v>3847.9439999999995</v>
      </c>
      <c r="L91" s="76">
        <v>130.88</v>
      </c>
      <c r="M91" s="56">
        <v>34.656</v>
      </c>
    </row>
    <row r="92" spans="2:13" ht="12.75">
      <c r="B92" s="13"/>
      <c r="C92" s="107" t="s">
        <v>130</v>
      </c>
      <c r="D92" s="108"/>
      <c r="E92" s="109"/>
      <c r="F92" s="40">
        <v>22</v>
      </c>
      <c r="G92" s="58">
        <v>17.118</v>
      </c>
      <c r="H92" s="31">
        <v>59</v>
      </c>
      <c r="I92" s="55"/>
      <c r="J92" s="61"/>
      <c r="K92" s="78">
        <f>405.938+191.975</f>
        <v>597.913</v>
      </c>
      <c r="L92" s="71"/>
      <c r="M92" s="91">
        <v>5.385</v>
      </c>
    </row>
    <row r="93" spans="2:13" ht="12.75">
      <c r="B93" s="13">
        <f>B91+1</f>
        <v>59</v>
      </c>
      <c r="C93" s="29" t="s">
        <v>87</v>
      </c>
      <c r="D93" s="17" t="s">
        <v>76</v>
      </c>
      <c r="E93" s="29">
        <v>124</v>
      </c>
      <c r="F93" s="40">
        <v>481</v>
      </c>
      <c r="G93" s="72">
        <v>8.401</v>
      </c>
      <c r="H93" s="31">
        <v>773</v>
      </c>
      <c r="I93" s="73">
        <v>-22.063</v>
      </c>
      <c r="J93" s="61">
        <v>25954</v>
      </c>
      <c r="K93" s="85">
        <f>1860.646+27.48+238.48+948.58</f>
        <v>3075.1859999999997</v>
      </c>
      <c r="L93" s="76">
        <v>145.54</v>
      </c>
      <c r="M93" s="56">
        <v>32.553</v>
      </c>
    </row>
    <row r="94" spans="2:13" ht="12.75">
      <c r="B94" s="13"/>
      <c r="C94" s="107" t="s">
        <v>130</v>
      </c>
      <c r="D94" s="108"/>
      <c r="E94" s="109"/>
      <c r="F94" s="40">
        <v>5</v>
      </c>
      <c r="G94" s="58">
        <v>1.65</v>
      </c>
      <c r="H94" s="31">
        <v>9</v>
      </c>
      <c r="I94" s="55"/>
      <c r="J94" s="61"/>
      <c r="K94" s="78">
        <f>365.332+238.475</f>
        <v>603.807</v>
      </c>
      <c r="L94" s="71"/>
      <c r="M94" s="91">
        <v>6.392</v>
      </c>
    </row>
    <row r="95" spans="2:13" ht="12.75">
      <c r="B95" s="13">
        <f>B93+1</f>
        <v>60</v>
      </c>
      <c r="C95" s="29" t="s">
        <v>90</v>
      </c>
      <c r="D95" s="17" t="s">
        <v>76</v>
      </c>
      <c r="E95" s="29">
        <v>128</v>
      </c>
      <c r="F95" s="40">
        <v>431</v>
      </c>
      <c r="G95" s="72">
        <v>15.082</v>
      </c>
      <c r="H95" s="31">
        <v>787</v>
      </c>
      <c r="I95" s="73">
        <v>-165.545</v>
      </c>
      <c r="J95" s="61">
        <v>24284</v>
      </c>
      <c r="K95" s="85">
        <f>1864.082+793.26+191.42</f>
        <v>2848.762</v>
      </c>
      <c r="L95" s="76">
        <v>139</v>
      </c>
      <c r="M95" s="56">
        <v>29.106</v>
      </c>
    </row>
    <row r="96" spans="2:13" ht="12.75">
      <c r="B96" s="13"/>
      <c r="C96" s="98" t="s">
        <v>131</v>
      </c>
      <c r="D96" s="99"/>
      <c r="E96" s="100"/>
      <c r="F96" s="40">
        <v>7</v>
      </c>
      <c r="G96" s="72">
        <v>2.931</v>
      </c>
      <c r="H96" s="31">
        <v>24</v>
      </c>
      <c r="I96" s="73"/>
      <c r="J96" s="61"/>
      <c r="K96" s="72">
        <f>362.35+191.42</f>
        <v>553.77</v>
      </c>
      <c r="L96" s="76"/>
      <c r="M96" s="56">
        <v>5.658</v>
      </c>
    </row>
    <row r="97" spans="2:13" ht="12.75">
      <c r="B97" s="13">
        <f>B95+1</f>
        <v>61</v>
      </c>
      <c r="C97" s="29" t="s">
        <v>105</v>
      </c>
      <c r="D97" s="17" t="s">
        <v>76</v>
      </c>
      <c r="E97" s="29">
        <v>130</v>
      </c>
      <c r="F97" s="40">
        <v>431</v>
      </c>
      <c r="G97" s="72">
        <v>5.922</v>
      </c>
      <c r="H97" s="31">
        <v>689</v>
      </c>
      <c r="I97" s="73">
        <v>-23.763</v>
      </c>
      <c r="J97" s="61">
        <v>22614</v>
      </c>
      <c r="K97" s="85">
        <f>2463.807+3.22+83.12+340.58</f>
        <v>2890.7269999999994</v>
      </c>
      <c r="L97" s="76">
        <v>140.29</v>
      </c>
      <c r="M97" s="56">
        <v>30.105</v>
      </c>
    </row>
    <row r="98" spans="2:13" ht="12.75">
      <c r="B98" s="13"/>
      <c r="C98" s="98" t="s">
        <v>131</v>
      </c>
      <c r="D98" s="99"/>
      <c r="E98" s="100"/>
      <c r="F98" s="51">
        <v>1</v>
      </c>
      <c r="G98" s="72">
        <v>1.153</v>
      </c>
      <c r="H98" s="31">
        <v>4</v>
      </c>
      <c r="I98" s="73"/>
      <c r="J98" s="61"/>
      <c r="K98" s="72">
        <f>479.772+83.122</f>
        <v>562.894</v>
      </c>
      <c r="L98" s="76"/>
      <c r="M98" s="56">
        <v>5.862</v>
      </c>
    </row>
    <row r="99" spans="2:13" ht="12.75">
      <c r="B99" s="13">
        <f>B97+1</f>
        <v>62</v>
      </c>
      <c r="C99" s="29" t="s">
        <v>35</v>
      </c>
      <c r="D99" s="17" t="s">
        <v>76</v>
      </c>
      <c r="E99" s="29">
        <v>110</v>
      </c>
      <c r="F99" s="30">
        <v>746</v>
      </c>
      <c r="G99" s="72">
        <v>-97.879</v>
      </c>
      <c r="H99" s="31">
        <v>1241</v>
      </c>
      <c r="I99" s="73">
        <v>56.983</v>
      </c>
      <c r="J99" s="61">
        <v>27740</v>
      </c>
      <c r="K99" s="85">
        <v>4988.216</v>
      </c>
      <c r="L99" s="76">
        <v>216.03</v>
      </c>
      <c r="M99" s="56">
        <v>64.347</v>
      </c>
    </row>
    <row r="100" spans="2:13" ht="12.75">
      <c r="B100" s="13">
        <f>B99+1</f>
        <v>63</v>
      </c>
      <c r="C100" s="29" t="s">
        <v>36</v>
      </c>
      <c r="D100" s="17" t="s">
        <v>76</v>
      </c>
      <c r="E100" s="29">
        <v>114</v>
      </c>
      <c r="F100" s="30">
        <v>723</v>
      </c>
      <c r="G100" s="72">
        <v>57.557</v>
      </c>
      <c r="H100" s="31">
        <v>1118</v>
      </c>
      <c r="I100" s="73">
        <v>102.378</v>
      </c>
      <c r="J100" s="61">
        <v>26036</v>
      </c>
      <c r="K100" s="85">
        <f>2808.079+7.13+1212.06</f>
        <v>4027.2690000000002</v>
      </c>
      <c r="L100" s="76">
        <v>172.81</v>
      </c>
      <c r="M100" s="56">
        <v>49.708</v>
      </c>
    </row>
    <row r="101" spans="2:13" ht="12.75">
      <c r="B101" s="13">
        <f>B100+1</f>
        <v>64</v>
      </c>
      <c r="C101" s="29" t="s">
        <v>37</v>
      </c>
      <c r="D101" s="17" t="s">
        <v>76</v>
      </c>
      <c r="E101" s="29">
        <v>118</v>
      </c>
      <c r="F101" s="32">
        <v>732</v>
      </c>
      <c r="G101" s="72">
        <v>33.141</v>
      </c>
      <c r="H101" s="31">
        <v>1116</v>
      </c>
      <c r="I101" s="73">
        <v>102.432</v>
      </c>
      <c r="J101" s="61">
        <v>24454</v>
      </c>
      <c r="K101" s="85">
        <f>475.222+504.5+11.1</f>
        <v>990.822</v>
      </c>
      <c r="L101" s="76">
        <v>156.7</v>
      </c>
      <c r="M101" s="56">
        <v>45.977</v>
      </c>
    </row>
    <row r="102" spans="2:13" ht="12.75">
      <c r="B102" s="13">
        <f>B101+1</f>
        <v>65</v>
      </c>
      <c r="C102" s="29" t="s">
        <v>38</v>
      </c>
      <c r="D102" s="17" t="s">
        <v>76</v>
      </c>
      <c r="E102" s="29">
        <v>122</v>
      </c>
      <c r="F102" s="30">
        <v>765</v>
      </c>
      <c r="G102" s="72">
        <v>57.927</v>
      </c>
      <c r="H102" s="31">
        <v>1099</v>
      </c>
      <c r="I102" s="73">
        <v>152.206</v>
      </c>
      <c r="J102" s="61">
        <v>26803</v>
      </c>
      <c r="K102" s="85">
        <f>3331.143+1057.71+14.46</f>
        <v>4403.313</v>
      </c>
      <c r="L102" s="76">
        <v>122.03</v>
      </c>
      <c r="M102" s="56">
        <v>35.256</v>
      </c>
    </row>
    <row r="103" spans="2:13" ht="12.75">
      <c r="B103" s="13">
        <f>B102+1</f>
        <v>66</v>
      </c>
      <c r="C103" s="29" t="s">
        <v>39</v>
      </c>
      <c r="D103" s="17" t="s">
        <v>76</v>
      </c>
      <c r="E103" s="29">
        <v>126</v>
      </c>
      <c r="F103" s="30">
        <v>798</v>
      </c>
      <c r="G103" s="72">
        <v>39.536</v>
      </c>
      <c r="H103" s="31">
        <v>1372</v>
      </c>
      <c r="I103" s="73">
        <v>208.076</v>
      </c>
      <c r="J103" s="61">
        <v>26039</v>
      </c>
      <c r="K103" s="85">
        <v>1301.421</v>
      </c>
      <c r="L103" s="76">
        <v>158.23</v>
      </c>
      <c r="M103" s="56">
        <v>46.505</v>
      </c>
    </row>
    <row r="104" spans="2:13" ht="12.75">
      <c r="B104" s="13">
        <f>B103+1</f>
        <v>67</v>
      </c>
      <c r="C104" s="29" t="s">
        <v>41</v>
      </c>
      <c r="D104" s="17" t="s">
        <v>77</v>
      </c>
      <c r="E104" s="29" t="s">
        <v>79</v>
      </c>
      <c r="F104" s="30">
        <v>460</v>
      </c>
      <c r="G104" s="72">
        <v>-17.834</v>
      </c>
      <c r="H104" s="31">
        <v>679</v>
      </c>
      <c r="I104" s="73">
        <v>67.426</v>
      </c>
      <c r="J104" s="61">
        <v>18350</v>
      </c>
      <c r="K104" s="85">
        <v>112.116</v>
      </c>
      <c r="L104" s="76">
        <v>104.99</v>
      </c>
      <c r="M104" s="56">
        <v>19.421</v>
      </c>
    </row>
    <row r="105" spans="2:13" ht="12.75">
      <c r="B105" s="13"/>
      <c r="C105" s="107" t="s">
        <v>130</v>
      </c>
      <c r="D105" s="108"/>
      <c r="E105" s="109"/>
      <c r="F105" s="47">
        <v>6</v>
      </c>
      <c r="G105" s="56"/>
      <c r="H105" s="31">
        <v>25</v>
      </c>
      <c r="I105" s="56">
        <v>7.025</v>
      </c>
      <c r="J105" s="60"/>
      <c r="K105" s="78">
        <v>11.681</v>
      </c>
      <c r="L105" s="71"/>
      <c r="M105" s="92">
        <v>2.199</v>
      </c>
    </row>
    <row r="106" spans="2:13" ht="12.75">
      <c r="B106" s="29">
        <f>B104+1</f>
        <v>68</v>
      </c>
      <c r="C106" s="29" t="s">
        <v>40</v>
      </c>
      <c r="D106" s="36" t="s">
        <v>77</v>
      </c>
      <c r="E106" s="24" t="s">
        <v>78</v>
      </c>
      <c r="F106" s="47">
        <v>295</v>
      </c>
      <c r="G106" s="72">
        <v>31.778</v>
      </c>
      <c r="H106" s="31">
        <v>437</v>
      </c>
      <c r="I106" s="87">
        <v>40.18</v>
      </c>
      <c r="J106" s="60">
        <v>12340</v>
      </c>
      <c r="K106" s="85">
        <f>466.059+18.88+1133.43</f>
        <v>1618.3690000000001</v>
      </c>
      <c r="L106" s="83">
        <v>81.32</v>
      </c>
      <c r="M106" s="56">
        <v>39.006</v>
      </c>
    </row>
    <row r="107" spans="2:13" ht="12.75">
      <c r="B107" s="29">
        <f>B106+1</f>
        <v>69</v>
      </c>
      <c r="C107" s="75" t="s">
        <v>136</v>
      </c>
      <c r="D107" s="36" t="s">
        <v>137</v>
      </c>
      <c r="E107" s="29">
        <v>15</v>
      </c>
      <c r="F107" s="47">
        <v>585</v>
      </c>
      <c r="G107" s="72">
        <v>-54.235</v>
      </c>
      <c r="H107" s="31">
        <v>677</v>
      </c>
      <c r="I107" s="87">
        <v>-188.581</v>
      </c>
      <c r="J107" s="60">
        <v>20448</v>
      </c>
      <c r="K107" s="85">
        <v>1883.281</v>
      </c>
      <c r="L107" s="67">
        <v>290.82</v>
      </c>
      <c r="M107" s="55">
        <v>0</v>
      </c>
    </row>
    <row r="108" spans="2:13" ht="12.75">
      <c r="B108" s="29">
        <f>B107+1</f>
        <v>70</v>
      </c>
      <c r="C108" s="29" t="s">
        <v>119</v>
      </c>
      <c r="D108" s="18" t="s">
        <v>116</v>
      </c>
      <c r="E108" s="29">
        <v>60</v>
      </c>
      <c r="F108" s="31">
        <v>265</v>
      </c>
      <c r="G108" s="80">
        <v>-199.467</v>
      </c>
      <c r="H108" s="26">
        <v>1099</v>
      </c>
      <c r="I108" s="87">
        <v>366.115</v>
      </c>
      <c r="J108" s="60">
        <v>22310</v>
      </c>
      <c r="K108" s="85">
        <v>6815.138</v>
      </c>
      <c r="L108" s="76">
        <v>239.19</v>
      </c>
      <c r="M108" s="74">
        <v>74.91</v>
      </c>
    </row>
    <row r="109" spans="2:13" ht="12.75">
      <c r="B109" s="29"/>
      <c r="C109" s="104" t="s">
        <v>131</v>
      </c>
      <c r="D109" s="105"/>
      <c r="E109" s="106"/>
      <c r="F109" s="37"/>
      <c r="G109" s="80"/>
      <c r="H109" s="26"/>
      <c r="I109" s="88">
        <v>50.83</v>
      </c>
      <c r="J109" s="62"/>
      <c r="K109" s="85">
        <v>946.192</v>
      </c>
      <c r="L109" s="76"/>
      <c r="M109" s="74">
        <v>10.4</v>
      </c>
    </row>
    <row r="110" spans="2:13" ht="12.75">
      <c r="B110" s="29">
        <f>B108+1</f>
        <v>71</v>
      </c>
      <c r="C110" s="29" t="s">
        <v>120</v>
      </c>
      <c r="D110" s="18" t="s">
        <v>116</v>
      </c>
      <c r="E110" s="29">
        <v>62</v>
      </c>
      <c r="F110" s="47">
        <v>184</v>
      </c>
      <c r="G110" s="72">
        <v>-42.096</v>
      </c>
      <c r="H110" s="31">
        <v>405</v>
      </c>
      <c r="I110" s="87">
        <v>0.776</v>
      </c>
      <c r="J110" s="60">
        <v>8788</v>
      </c>
      <c r="K110" s="85">
        <v>1298.973</v>
      </c>
      <c r="L110" s="76">
        <v>92.74</v>
      </c>
      <c r="M110" s="68">
        <v>0.002</v>
      </c>
    </row>
    <row r="111" spans="2:13" ht="12.75">
      <c r="B111" s="29">
        <f>B110+1</f>
        <v>72</v>
      </c>
      <c r="C111" s="29" t="s">
        <v>128</v>
      </c>
      <c r="D111" s="18" t="s">
        <v>116</v>
      </c>
      <c r="E111" s="29">
        <v>64</v>
      </c>
      <c r="F111" s="30">
        <v>479</v>
      </c>
      <c r="G111" s="80">
        <v>-8.663</v>
      </c>
      <c r="H111" s="31">
        <v>724</v>
      </c>
      <c r="I111" s="87">
        <v>46.59</v>
      </c>
      <c r="J111" s="60">
        <v>18450</v>
      </c>
      <c r="K111" s="65">
        <v>3977.822</v>
      </c>
      <c r="L111" s="76">
        <v>222.91</v>
      </c>
      <c r="M111" s="68">
        <v>67.541</v>
      </c>
    </row>
    <row r="112" spans="2:13" ht="12.75">
      <c r="B112" s="29"/>
      <c r="C112" s="98" t="s">
        <v>131</v>
      </c>
      <c r="D112" s="99"/>
      <c r="E112" s="100"/>
      <c r="F112" s="30"/>
      <c r="G112" s="72"/>
      <c r="H112" s="31"/>
      <c r="I112" s="87">
        <v>6.466</v>
      </c>
      <c r="J112" s="60"/>
      <c r="K112" s="64">
        <v>552.088</v>
      </c>
      <c r="L112" s="76"/>
      <c r="M112" s="68">
        <v>9.46</v>
      </c>
    </row>
    <row r="113" spans="2:13" ht="12.75">
      <c r="B113" s="29">
        <f>B111+1</f>
        <v>73</v>
      </c>
      <c r="C113" s="29" t="s">
        <v>129</v>
      </c>
      <c r="D113" s="18" t="s">
        <v>116</v>
      </c>
      <c r="E113" s="24">
        <v>68</v>
      </c>
      <c r="F113" s="25">
        <v>473</v>
      </c>
      <c r="G113" s="80">
        <v>43.835</v>
      </c>
      <c r="H113" s="26">
        <v>834</v>
      </c>
      <c r="I113" s="73">
        <v>91.714</v>
      </c>
      <c r="J113" s="61">
        <v>17960</v>
      </c>
      <c r="K113" s="65">
        <v>4228.712</v>
      </c>
      <c r="L113" s="83">
        <v>228.84</v>
      </c>
      <c r="M113" s="74">
        <v>71.261</v>
      </c>
    </row>
    <row r="114" spans="2:13" ht="13.5" thickBot="1">
      <c r="B114" s="52"/>
      <c r="C114" s="101" t="s">
        <v>131</v>
      </c>
      <c r="D114" s="102"/>
      <c r="E114" s="103"/>
      <c r="F114" s="37"/>
      <c r="G114" s="81">
        <v>6.154</v>
      </c>
      <c r="H114" s="37"/>
      <c r="I114" s="89">
        <v>12.876</v>
      </c>
      <c r="J114" s="62"/>
      <c r="K114" s="66">
        <v>593.684</v>
      </c>
      <c r="L114" s="84"/>
      <c r="M114" s="97">
        <v>10.005</v>
      </c>
    </row>
    <row r="115" spans="2:13" ht="13.5" thickBot="1">
      <c r="B115" s="34"/>
      <c r="C115" s="21" t="s">
        <v>84</v>
      </c>
      <c r="D115" s="33"/>
      <c r="E115" s="34"/>
      <c r="F115" s="38">
        <f aca="true" t="shared" si="1" ref="F115:L115">SUM(F7:F113)-F9-F11-F13-F15-F17-F19-F46-F49-F44-F56-F58-F60-F52-F64-F66-F69-F71-F77-F80-F84-F90-F92-F105-F94-F21-F109-F112-F114-F24-F26-F28-F30-F32-F96-F98</f>
        <v>49249</v>
      </c>
      <c r="G115" s="38">
        <f t="shared" si="1"/>
        <v>236.205</v>
      </c>
      <c r="H115" s="38">
        <f t="shared" si="1"/>
        <v>77613</v>
      </c>
      <c r="I115" s="38">
        <f t="shared" si="1"/>
        <v>3922.1480000000006</v>
      </c>
      <c r="J115" s="38">
        <f t="shared" si="1"/>
        <v>1875446</v>
      </c>
      <c r="K115" s="38">
        <f t="shared" si="1"/>
        <v>251742.15000000002</v>
      </c>
      <c r="L115" s="38">
        <f t="shared" si="1"/>
        <v>13629.429999999997</v>
      </c>
      <c r="M115" s="38">
        <f>SUM(M7:M113)-M9-M11-M13-M15-M17-M19-M46-M49-M44-M56-M58-M60-M52-M64-M66-M69-M71-M77-M80-M84-M90-M92-M105-M94-M21-M109-M112-M114-M24-M26-M28-M30-M32</f>
        <v>3666.3799999999997</v>
      </c>
    </row>
    <row r="116" spans="2:12" ht="18.75" customHeight="1">
      <c r="B116" s="35"/>
      <c r="C116" s="22"/>
      <c r="D116" s="35"/>
      <c r="E116" s="35"/>
      <c r="F116" s="23"/>
      <c r="G116" s="23"/>
      <c r="H116" s="23"/>
      <c r="I116" s="23"/>
      <c r="J116" s="23"/>
      <c r="K116" s="39"/>
      <c r="L116" s="39"/>
    </row>
    <row r="117" spans="2:10" ht="14.25">
      <c r="B117" s="2"/>
      <c r="C117" s="2"/>
      <c r="D117" s="2"/>
      <c r="E117" s="2"/>
      <c r="F117" s="2"/>
      <c r="G117" s="2"/>
      <c r="H117" s="2"/>
      <c r="I117" s="2"/>
      <c r="J117" s="2"/>
    </row>
  </sheetData>
  <sheetProtection/>
  <mergeCells count="40">
    <mergeCell ref="C2:J2"/>
    <mergeCell ref="F4:F5"/>
    <mergeCell ref="H4:H5"/>
    <mergeCell ref="J4:J5"/>
    <mergeCell ref="L4:L5"/>
    <mergeCell ref="C9:E9"/>
    <mergeCell ref="C11:E11"/>
    <mergeCell ref="C13:E13"/>
    <mergeCell ref="C15:E15"/>
    <mergeCell ref="C17:E17"/>
    <mergeCell ref="C19:E19"/>
    <mergeCell ref="C21:E21"/>
    <mergeCell ref="C44:E44"/>
    <mergeCell ref="C46:E46"/>
    <mergeCell ref="C49:E49"/>
    <mergeCell ref="C52:E52"/>
    <mergeCell ref="C56:E56"/>
    <mergeCell ref="C58:E58"/>
    <mergeCell ref="C60:E60"/>
    <mergeCell ref="C64:E64"/>
    <mergeCell ref="C66:E66"/>
    <mergeCell ref="C69:E69"/>
    <mergeCell ref="C71:E71"/>
    <mergeCell ref="C77:E77"/>
    <mergeCell ref="C90:E90"/>
    <mergeCell ref="C92:E92"/>
    <mergeCell ref="C94:E94"/>
    <mergeCell ref="C105:E105"/>
    <mergeCell ref="C96:E96"/>
    <mergeCell ref="C98:E98"/>
    <mergeCell ref="C112:E112"/>
    <mergeCell ref="C114:E114"/>
    <mergeCell ref="C24:E24"/>
    <mergeCell ref="C26:E26"/>
    <mergeCell ref="C28:E28"/>
    <mergeCell ref="C30:E30"/>
    <mergeCell ref="C32:E32"/>
    <mergeCell ref="C109:E109"/>
    <mergeCell ref="C80:E80"/>
    <mergeCell ref="C84:E84"/>
  </mergeCells>
  <printOptions/>
  <pageMargins left="0.8267716535433072" right="0.2362204724409449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Гарипова, Ильсояр</cp:lastModifiedBy>
  <cp:lastPrinted>2013-04-10T04:43:23Z</cp:lastPrinted>
  <dcterms:created xsi:type="dcterms:W3CDTF">2012-02-17T11:01:08Z</dcterms:created>
  <dcterms:modified xsi:type="dcterms:W3CDTF">2013-04-11T06:24:10Z</dcterms:modified>
  <cp:category/>
  <cp:version/>
  <cp:contentType/>
  <cp:contentStatus/>
</cp:coreProperties>
</file>